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<sst xmlns="http://schemas.openxmlformats.org/spreadsheetml/2006/main" count="21286" uniqueCount="7186">
  <si>
    <t xml:space="preserve">URL</t>
  </si>
  <si>
    <t xml:space="preserve">SDI ID</t>
  </si>
  <si>
    <t xml:space="preserve">Manufacturer</t>
  </si>
  <si>
    <t xml:space="preserve">Model</t>
  </si>
  <si>
    <t xml:space="preserve">Description</t>
  </si>
  <si>
    <t xml:space="preserve">Qty</t>
  </si>
  <si>
    <t xml:space="preserve">Version</t>
  </si>
  <si>
    <t xml:space="preserve">Condition</t>
  </si>
  <si>
    <t xml:space="preserve">Vintage</t>
  </si>
  <si>
    <t xml:space="preserve">Sales conditions</t>
  </si>
  <si>
    <t xml:space="preserve">Lead Time</t>
  </si>
  <si>
    <t xml:space="preserve">Comments</t>
  </si>
  <si>
    <t xml:space="preserve">102596</t>
  </si>
  <si>
    <t xml:space="preserve">12 inch</t>
  </si>
  <si>
    <t xml:space="preserve">Complete</t>
  </si>
  <si>
    <t xml:space="preserve">Wafer Fab Line</t>
  </si>
  <si>
    <t xml:space="preserve">1</t>
  </si>
  <si>
    <t xml:space="preserve">300 mm</t>
  </si>
  <si>
    <t xml:space="preserve">excellent</t>
  </si>
  <si>
    <t xml:space="preserve">as is where is</t>
  </si>
  <si>
    <t xml:space="preserve">immediately</t>
  </si>
  <si>
    <t xml:space="preserve">-Complete 12 inch wafer fab line for sale
-Equipment is still installed and still running wafers in production.
-Inspection is possible by appointment.
-70,000 wpm with a 25/20 nm design rule.
-193 nm lithography, achieved using ASML products.
-The wafer fab is being sold as "Operational". Therefore individual items / 
Items of equipment are not available for individual purchase and removal.</t>
  </si>
  <si>
    <t xml:space="preserve">100996</t>
  </si>
  <si>
    <t xml:space="preserve">70 MWp</t>
  </si>
  <si>
    <t xml:space="preserve">Poly-Si Solar Cell Manufacturing Line</t>
  </si>
  <si>
    <t xml:space="preserve">Solar</t>
  </si>
  <si>
    <t xml:space="preserve">good</t>
  </si>
  <si>
    <t xml:space="preserve">Technical Data - 6" Multicrystalline Silicon Solar Cell
Product 1
Efficiency: up to 18.20%
Dimension: 156.0 mm x 156.0 mm ± 0.5 mm
Thickness(Si): 180 μm ± 20 μm / 200 μm ± 20 μm
Front Side(-):
• Silicon nitride anti-reflection coating
• Width of bus bar:2.0 mm ± 0.1mm
• Distance between two bus bars: 75.0mm
Back Side(+):
• Aluminum back surface field
• Continuous soldering pads: 3.0 mm ± 0.1mm
• Distance between two bus bars: 75.0 mm
Product 2
Efficiency: up to 18.20%
Dimension: 156.0 mm x 156.0 mm ± 0.5 mm
Thickness(Si): 180 μm ± 20 μm / 200 μm ± 20 μm
Front Side(-):
• Silicon nitride anti-reflection coating
• Width of bus bar: 1.3 mm ± 0.1mm
• Distance between two bus bars: 52.0mm
Back Side(+):
• Aluminum back surface field
• Continuous soldering pads: 2.5 mm ± 0.1mm
• Distance between two bus bars: 52.0mm
Equipment List
Process Step
Manufacturer
Model
Quantity
Vintage
WIS
Delta
Wafer Inspections System
1
2014
Texturing
Rena
InTex
1
2014
GPM
Automation Load and Unload
1
2014
Diffusion
Tempress
TS81254
2
2014
R2D
Automation Load and Unload
2
2014
GP Solar
4-Point Probe RSH Tester
1
2014
PSG remove
and Wet
Isolation
Rena
InOxSide
2
2014
GPM
Automation L/UL
1
2014
PECVD SiNx Deposition
Roth and Rau
SiNA R2.1
1
2014
GPM
Automation L/UL
1
2014
GP Solar
Color Inspection
2
2014
R Plus M Tech
Local Scrubber
1
2014
Printer
ASYS
Ultra Line Dual Lane Advance
1
2014
GP Solar
Printer-Q AOI
Front Side
2
2014
GP Solar
Printer-Q AOI
Rear Side
2
2014
VOC condenser
QiYu
1
2014
Sorter 48 Bin
Berger
Simulator
2
2014
GP Solar
Cell-Q AOI Front Side
2
2014
GP Solar
Cell-Q AOI Front Side
2
2014
Firing Furnace
Centrotherm
CDF 7210 DO-FFHTO-
12500-300
2
2014
QiYu
VOC Condenser
1
2014
Packing List
Equipment  Name
Type name
Package
L (cm)
D (cm)
H (cm)
Q'ty
Weight  (kg)
ASYS Printer
27S S D
Aluminum Foil Bag Vacuum Sealed Bag
250
230
220
1
426
ASYS Printer
26S S D
Aluminum Foil Bag Vacuum Sealed Bag
250
230
220
1
426
ASYS Printer
19SBB
Aluminum Foil Bag Vacuum Sealed Bag
245
160
190
1
304
ASYS Printer
18ASH
Aluminum Foil Bag Vacuum Sealed Bag
350
110
170
1
305
ASYS Printer
Burger Lamp  Tower
Aluminum Foil Bag Vacuum Sealed Bag
155
105
130
1
131
ASYS Printer
24STH
Aluminum Foil Bag Vacuum Sealed Bag
190
100
215
1
213
ASYS Printer
25STH
Aluminum Foil Bag Vacuum Sealed Bag
190
100
215
1
213
ASYS Printer
20SFS
Aluminum Foil Bag Vacuum Sealed Bag
190
105
240
1
237
ASYS Printer
21SFS
Aluminum Foil Bag Vacuum Sealed Bag
190
105
240
1
237
ASYS Printer
15X S 1
Aluminum Foil Bag Vacuum Sealed Bag
200
130
215
1
253
ASYS Printer
16SPC
Aluminum Foil Bag Vacuum Sealed Bag
230
105
230
1
264
ASYS Printer
17ASH
Aluminum Foil Bag Vacuum Sealed Bag
310
105
140
1
237
ASYS Printer
14X S I
Aluminum Foil Bag Vacuum Sealed Bag
200
130
184
1
227
ASYS Printer
14X S I
Aluminum Foil Bag Vacuum Sealed Bag
200
130
195
1
236
ASYS Printer
STS, SMP
Aluminum Foil Bag Vacuum Sealed Bag
200
95
190
1
196
ASYS Printer
11I C S
Aluminum Foil Bag Vacuum Sealed Bag
380
160
210
1
455
ASYS Printer
10SPC
Aluminum Foil Bag Vacuum Sealed Bag
230
110
230
1
271
ASYS Printer
9XS1
Aluminum Foil Bag Vacuum Sealed Bag
210
130
195
1
245
ASYS Printer
8XS1 SFS
Aluminum Foil Bag Vacuum Sealed Bag
355
155
210
1
424
ASYS Printer
6I C S
Aluminum Foil Bag Vacuum Sealed Bag
382
155
210
1
449
ASYS Printer
4XS1
Aluminum Foil Bag Vacuum Sealed Bag
210
130
190
1
240
ASYS Printer
2SFS SES 01D+
Aluminum Foil Bag Vacuum Sealed Bag
290
160
200
1
356
Vibrator
Vibrator
Aluminum Foil Bag Vacuum Sealed Bag
170
165
135
1
192
CT Firing
Sintering furnace
Aluminum Foil Bag Vacuum Sealed Bag
495
152
25
1
244
CT Firing
Sintering furnace
Aluminum Foil Bag Vacuum Sealed Bag
495
152
25
1
244
CT Firing
Sintering furnace
Aluminum Foil Bag Vacuum Sealed Bag
325
156
250
1
447
CT Firing
Sintering furnace
Aluminum Foil Bag Vacuum Sealed Bag
325
156
250
1
447
CT Firing
Sintering furnace
Aluminum Foil Bag Vacuum Sealed Bag
520
160
255
1
671
CT Firing
Sintering furnace
Aluminum Foil Bag Vacuum Sealed Bag
520
160
255
1
671
GPM L/UL
GPM TEX ULD
Aluminum Foil Bag Vacuum Sealed Bag
345
345
235
1
735
GPM L/UL
GPM TEX LD
Aluminum Foil Bag Vacuum Sealed Bag
490
230
245
1
757
Rena InTex
Etching Equipment
Aluminum Foil Bag Vacuum Sealed Bag
390
275
280
1
767
Rena InTex
Etching Equipment
Aluminum Foil Bag Vacuum Sealed Bag
320
270
280
1
658
Rena InTex
Etching Equipment
Aluminum Foil Bag Vacuum Sealed Bag
260
215
150
1
332
Rena InTex
Unichiller
Aluminum Foil Bag Vacuum Sealed Bag
220
140
230
1
297
Equipment packed and stored in warehouse.
Inspection available upon request.
Please check pictures below for more information.</t>
  </si>
  <si>
    <t xml:space="preserve">101855</t>
  </si>
  <si>
    <t xml:space="preserve">750 MWp</t>
  </si>
  <si>
    <t xml:space="preserve">Solar Module Manufacturing Line</t>
  </si>
  <si>
    <t xml:space="preserve">Size: 158.75, polycrystalline
Including:
• Changzhou S.C Polycrystalline chain Texturing Equipment 'SC-LSZ30006', 
'SC-LSZ3300D'(2016) (Qty 5)
• Shenzhen S.C Horizontal Diffusion Furnace 'DS-300A', 'DS-300L', 'DS-300C' 
(Qty 13)
• Changzhou S.C Polycrystalline chain Wet Etching Cleaning Equipment 
'SC-LSS3300DT', 'SC-LSS3000D', 'SC-SF000CS' (Qty 5)
• Shenzhen S.C Horizontal PECVD 'PD-380D', 'PD-380B', 'PD-380A' (Qty 13)
• BACCINI Double Screen Printer Line (Qty 6)
• Micro-tec Double Screen Printer Line (Qty 3)</t>
  </si>
  <si>
    <t xml:space="preserve">101332</t>
  </si>
  <si>
    <t xml:space="preserve">8 inch</t>
  </si>
  <si>
    <t xml:space="preserve">Partial</t>
  </si>
  <si>
    <t xml:space="preserve">250</t>
  </si>
  <si>
    <t xml:space="preserve">200 mm</t>
  </si>
  <si>
    <t xml:space="preserve">-Partial 8 inch line for sale -Equipment is still installed and still running wafers in production. -Subject to negotiation, it is expected that tools will be available for  removal from the line in April, 2022. -Inspection is possible by appointment -Total 250 line items for sale The equipment list is available un request Price: Please submit best offers</t>
  </si>
  <si>
    <t xml:space="preserve">102984</t>
  </si>
  <si>
    <t xml:space="preserve">Accretech</t>
  </si>
  <si>
    <t xml:space="preserve">UF3000</t>
  </si>
  <si>
    <t xml:space="preserve">Prober</t>
  </si>
  <si>
    <t xml:space="preserve">102985</t>
  </si>
  <si>
    <t xml:space="preserve">92435</t>
  </si>
  <si>
    <t xml:space="preserve">Accretech / TSK</t>
  </si>
  <si>
    <t xml:space="preserve">EM-11A</t>
  </si>
  <si>
    <t xml:space="preserve">6</t>
  </si>
  <si>
    <t xml:space="preserve">inquire</t>
  </si>
  <si>
    <t xml:space="preserve">Deinstalled. Warehoused. Can be inspected by appointment</t>
  </si>
  <si>
    <t xml:space="preserve">102624</t>
  </si>
  <si>
    <t xml:space="preserve">UF 200A</t>
  </si>
  <si>
    <t xml:space="preserve">5</t>
  </si>
  <si>
    <t xml:space="preserve">The probers are deinstalled and warehoused. 
Inspection and function test available upon request.</t>
  </si>
  <si>
    <t xml:space="preserve">86068</t>
  </si>
  <si>
    <t xml:space="preserve">UF190A</t>
  </si>
  <si>
    <t xml:space="preserve">-Currently de-installed and warehoused
-Can be sold in "as is" conditions, or with power up testing and 
installation.
-Please send us an inquiry to know more details.
</t>
  </si>
  <si>
    <t xml:space="preserve">92436</t>
  </si>
  <si>
    <t xml:space="preserve">UF190B</t>
  </si>
  <si>
    <t xml:space="preserve">3</t>
  </si>
  <si>
    <t xml:space="preserve">96180</t>
  </si>
  <si>
    <t xml:space="preserve">UF200 AL</t>
  </si>
  <si>
    <t xml:space="preserve">Prober, AMBIENT AND HOT</t>
  </si>
  <si>
    <t xml:space="preserve">102843</t>
  </si>
  <si>
    <t xml:space="preserve">Accretech TSK</t>
  </si>
  <si>
    <t xml:space="preserve">UF200SA</t>
  </si>
  <si>
    <t xml:space="preserve">Automatic Wafer Prober/Probe Station</t>
  </si>
  <si>
    <t xml:space="preserve">102844</t>
  </si>
  <si>
    <t xml:space="preserve">102845</t>
  </si>
  <si>
    <t xml:space="preserve">102846</t>
  </si>
  <si>
    <t xml:space="preserve">102847</t>
  </si>
  <si>
    <t xml:space="preserve">102848</t>
  </si>
  <si>
    <t xml:space="preserve">102849</t>
  </si>
  <si>
    <t xml:space="preserve">102850</t>
  </si>
  <si>
    <t xml:space="preserve">102851</t>
  </si>
  <si>
    <t xml:space="preserve">102852</t>
  </si>
  <si>
    <t xml:space="preserve">102853</t>
  </si>
  <si>
    <t xml:space="preserve">102854</t>
  </si>
  <si>
    <t xml:space="preserve">102656</t>
  </si>
  <si>
    <t xml:space="preserve">Accretech/TSK</t>
  </si>
  <si>
    <t xml:space="preserve">Production Wafer Prober</t>
  </si>
  <si>
    <t xml:space="preserve">Installed - In Production</t>
  </si>
  <si>
    <t xml:space="preserve">102507</t>
  </si>
  <si>
    <t xml:space="preserve">UF3000 Cold option</t>
  </si>
  <si>
    <t xml:space="preserve">Wafer PROBER</t>
  </si>
  <si>
    <t xml:space="preserve">87932</t>
  </si>
  <si>
    <t xml:space="preserve">AD-TEC</t>
  </si>
  <si>
    <t xml:space="preserve">AMV-2000-AMT</t>
  </si>
  <si>
    <t xml:space="preserve">RF Generator</t>
  </si>
  <si>
    <t xml:space="preserve">Spares</t>
  </si>
  <si>
    <t xml:space="preserve">Deinstalled, warehoused. More details available on request.</t>
  </si>
  <si>
    <t xml:space="preserve">87934</t>
  </si>
  <si>
    <t xml:space="preserve">TR3000</t>
  </si>
  <si>
    <t xml:space="preserve">102631</t>
  </si>
  <si>
    <t xml:space="preserve">ADE</t>
  </si>
  <si>
    <t xml:space="preserve">9500</t>
  </si>
  <si>
    <t xml:space="preserve">Wafer flatness measurement system with ASC1000</t>
  </si>
  <si>
    <t xml:space="preserve">refurbished</t>
  </si>
  <si>
    <t xml:space="preserve">A fully refurbished ADE 9500 with an ASC1000.
Lead time: 30 days ARO.
Confirnment Incoterm: Ex-works
Following refurbishment, we will provide a test report and a video of the 
system running.
Crating for overseas shipment is included.
6 months warranty is included. Buyer to cover all costs associated with 
return shipping.
Installation is not included.</t>
  </si>
  <si>
    <t xml:space="preserve">102632</t>
  </si>
  <si>
    <t xml:space="preserve">Wafer flatness measurement system with ASC2500</t>
  </si>
  <si>
    <t xml:space="preserve">A fully refurbished ADE 9500 with an ASC2500.
Lead time: 55 days ARO.
Confirnment Incoterm: Ex-works
Following refurbishment, we will provide a test report and a video of the 
system running.
Crating for overseas shipment is included.
6 months warranty is included. Buyer to cover all costs associated with 
return shipping.
Installation is not included.</t>
  </si>
  <si>
    <t xml:space="preserve">102061</t>
  </si>
  <si>
    <t xml:space="preserve">Episcan 1000</t>
  </si>
  <si>
    <t xml:space="preserve">Epi Thickness Measurement System</t>
  </si>
  <si>
    <t xml:space="preserve">91841</t>
  </si>
  <si>
    <t xml:space="preserve">Episcan 1000 </t>
  </si>
  <si>
    <t xml:space="preserve">FT-IR Spectromter for measurement of Epitaxial films</t>
  </si>
  <si>
    <t xml:space="preserve">100-200 mm</t>
  </si>
  <si>
    <t xml:space="preserve">    * For the Measurement of Epi Films &lt;25µ
    * ON-LINE TECHNOLOGIES 2110 Spectrometer Head
    * IRVINE OPTICAL Nanoloader II Dual Cassette Wafer Handler
    * ADE ACS Controller
    * Windows NT Operating System</t>
  </si>
  <si>
    <t xml:space="preserve">92686</t>
  </si>
  <si>
    <t xml:space="preserve">FIT3120</t>
  </si>
  <si>
    <t xml:space="preserve">PARTICLE COUNTER</t>
  </si>
  <si>
    <t xml:space="preserve">De-installed, warehoused. Can be inspected by appointment.</t>
  </si>
  <si>
    <t xml:space="preserve">97846</t>
  </si>
  <si>
    <t xml:space="preserve">NANOMAPPER</t>
  </si>
  <si>
    <t xml:space="preserve">SQM</t>
  </si>
  <si>
    <t xml:space="preserve">87912</t>
  </si>
  <si>
    <t xml:space="preserve">Adixen</t>
  </si>
  <si>
    <t xml:space="preserve">A101L</t>
  </si>
  <si>
    <t xml:space="preserve">Mechanical Vacuum Pump</t>
  </si>
  <si>
    <t xml:space="preserve">40</t>
  </si>
  <si>
    <t xml:space="preserve">Pump</t>
  </si>
  <si>
    <t xml:space="preserve">
</t>
  </si>
  <si>
    <t xml:space="preserve">87917</t>
  </si>
  <si>
    <t xml:space="preserve">ADP122LM</t>
  </si>
  <si>
    <t xml:space="preserve">2</t>
  </si>
  <si>
    <t xml:space="preserve">87918</t>
  </si>
  <si>
    <t xml:space="preserve">ADS1202H</t>
  </si>
  <si>
    <t xml:space="preserve">132</t>
  </si>
  <si>
    <t xml:space="preserve">87919</t>
  </si>
  <si>
    <t xml:space="preserve">ADS1202P</t>
  </si>
  <si>
    <t xml:space="preserve">87920</t>
  </si>
  <si>
    <t xml:space="preserve">ADS501</t>
  </si>
  <si>
    <t xml:space="preserve">102501</t>
  </si>
  <si>
    <t xml:space="preserve">Adixen / Alcatel / Pfeiffer</t>
  </si>
  <si>
    <t xml:space="preserve">ADS602H</t>
  </si>
  <si>
    <t xml:space="preserve">Vacuum Pumps</t>
  </si>
  <si>
    <t xml:space="preserve">15</t>
  </si>
  <si>
    <t xml:space="preserve">PUMP</t>
  </si>
  <si>
    <t xml:space="preserve">Manufacturer 	Model 	Serialnumber
PFEIFFER 	ADS602H 	-
PFEIFFER 	ADS602H 	-
PFEIFFER 	ADS602H 	-
PFEIFFER 	ADS602H 	-
PFEIFFER 	ADS602H 	-
PFEIFFER 	ADS602H 	-
PFEIFFER 	ADS602H 	-
PFEIFFER 	ADS602H 	-
PFEIFFER 	ADS602H 	-
PFEIFFER 	ADS602H 	-
PFEIFFER 	ADS602H 	-
PFEIFFER 	ADS602H 	-
PFEIFFER 	ADS602H 	-
PFEIFFER 	ADS602H 	-
PFEIFFER 	ADS602H 	-</t>
  </si>
  <si>
    <t xml:space="preserve">100343</t>
  </si>
  <si>
    <t xml:space="preserve">Advance Hivolt</t>
  </si>
  <si>
    <t xml:space="preserve">OL80001104103 CONV A1010070</t>
  </si>
  <si>
    <t xml:space="preserve">High Voltage Power Supply and High Voltage Stack</t>
  </si>
  <si>
    <t xml:space="preserve">Please check pictures below for more information.
The items for sale include:-
Advanced Hivolt OL8000 A1010070 Converter
Advanced Hivolt OL8000 HVU-A1010080 Stack
I can sell you the attached part by exchange.
You need to ship your faulty (repairable) part back to us.
Sales conditions: EXW, our warehouse, Avezzano , Italy.
Lead time: 1 week after receipt of payment.
Warrenty: 3 months after delivery
Conditions:
1. Exchange unit must have no missing parts, or else they will be charged 
additionally.
2. Buyer to ship back the bad unit back to our warehouse in Italy.</t>
  </si>
  <si>
    <t xml:space="preserve">87553</t>
  </si>
  <si>
    <t xml:space="preserve">ADVANCED ENERGY</t>
  </si>
  <si>
    <t xml:space="preserve">MDX</t>
  </si>
  <si>
    <t xml:space="preserve">Magnetron Drive p/n 2011-000-D</t>
  </si>
  <si>
    <t xml:space="preserve">spares</t>
  </si>
  <si>
    <t xml:space="preserve">Manufacturer  	Advanced Energy
Model  	2011-000-D
Power Requirements  	208 V     30.0 A     50/60 Hz
 </t>
  </si>
  <si>
    <t xml:space="preserve">103022</t>
  </si>
  <si>
    <t xml:space="preserve">Advanced Energy</t>
  </si>
  <si>
    <t xml:space="preserve">RFX600A</t>
  </si>
  <si>
    <t xml:space="preserve">SPARES</t>
  </si>
  <si>
    <t xml:space="preserve">56Mhz 600 Watt RF Generator 3155082-211 . Remote interface only no front 
panel display or controls.Manufacturer: Advanced EnergyModel: RFX 600APart 
No: 3155082-211 CDescription: RF GeneratorOutput: 13.56MHz, 600WInput 
Power: 230VAC, 1Ph, 50/60Hz, 6.3A, CECEX In / CEX Out BNC ConnectorsOutput 
Connector: Type N female</t>
  </si>
  <si>
    <t xml:space="preserve">101860</t>
  </si>
  <si>
    <t xml:space="preserve">Advanced Technology Inc.</t>
  </si>
  <si>
    <t xml:space="preserve">Cypress GEN2</t>
  </si>
  <si>
    <t xml:space="preserve">Lead Inspection Equipment</t>
  </si>
  <si>
    <t xml:space="preserve">Assembly</t>
  </si>
  <si>
    <t xml:space="preserve">Configuration available upon request</t>
  </si>
  <si>
    <t xml:space="preserve">102062</t>
  </si>
  <si>
    <t xml:space="preserve">Advantest</t>
  </si>
  <si>
    <t xml:space="preserve">83000</t>
  </si>
  <si>
    <t xml:space="preserve">Electrical test</t>
  </si>
  <si>
    <t xml:space="preserve">102063</t>
  </si>
  <si>
    <t xml:space="preserve">102064</t>
  </si>
  <si>
    <t xml:space="preserve">102065</t>
  </si>
  <si>
    <t xml:space="preserve">Tester</t>
  </si>
  <si>
    <t xml:space="preserve">102066</t>
  </si>
  <si>
    <t xml:space="preserve">102067</t>
  </si>
  <si>
    <t xml:space="preserve">102056</t>
  </si>
  <si>
    <t xml:space="preserve">ADVANTEST</t>
  </si>
  <si>
    <t xml:space="preserve">E8001-66494</t>
  </si>
  <si>
    <t xml:space="preserve">AC/DC Power Unit for Verigy V93000 PS1600 Tester</t>
  </si>
  <si>
    <t xml:space="preserve">10</t>
  </si>
  <si>
    <t xml:space="preserve">Please check pictures below for more information.</t>
  </si>
  <si>
    <t xml:space="preserve">102945</t>
  </si>
  <si>
    <t xml:space="preserve">HP83000</t>
  </si>
  <si>
    <t xml:space="preserve">TESTER</t>
  </si>
  <si>
    <t xml:space="preserve">TEST</t>
  </si>
  <si>
    <t xml:space="preserve">92422</t>
  </si>
  <si>
    <t xml:space="preserve">M6241</t>
  </si>
  <si>
    <t xml:space="preserve">Test Handler</t>
  </si>
  <si>
    <t xml:space="preserve">102068</t>
  </si>
  <si>
    <t xml:space="preserve">M6300</t>
  </si>
  <si>
    <t xml:space="preserve">AUTO HANDLER</t>
  </si>
  <si>
    <t xml:space="preserve">86074</t>
  </si>
  <si>
    <t xml:space="preserve">Automated Test Handler</t>
  </si>
  <si>
    <t xml:space="preserve">test</t>
  </si>
  <si>
    <t xml:space="preserve">Fully working and available for powered-up inspection.
- Docking tester T5585
- Standard dot pitch: 25mm
- Temperature range: -30C~125C
- Currently de-installed and warehoused
- Can arrange for installation if required</t>
  </si>
  <si>
    <t xml:space="preserve">92428</t>
  </si>
  <si>
    <t xml:space="preserve">86073</t>
  </si>
  <si>
    <t xml:space="preserve">M6541AD</t>
  </si>
  <si>
    <t xml:space="preserve">Automated Test hANDLER</t>
  </si>
  <si>
    <t xml:space="preserve">-Currently de-installed and warehoused
-Can be sold in "as is" conditions, or with power up testing and 
installation.
-Please send us an inquiry to know more details.
</t>
  </si>
  <si>
    <t xml:space="preserve">79087</t>
  </si>
  <si>
    <t xml:space="preserve">De-installed, warehoused, can be inspected by appointment</t>
  </si>
  <si>
    <t xml:space="preserve">79088</t>
  </si>
  <si>
    <t xml:space="preserve">Working condition.
- Handler main frame;
- Soak chamber;
- Test chamber /exit chanber;
- Carrier arm unit;
- Loader / unloader;
- Tray stocker (9 elevator);
- C-Tray adjust (3)
- Stockers (9);
- Touch screen display;
- Standard Advantest temperature range (-30 deg C to +125 deg C)
De-installed, warehoused, can be inspected by appointment</t>
  </si>
  <si>
    <t xml:space="preserve">79089</t>
  </si>
  <si>
    <t xml:space="preserve">79090</t>
  </si>
  <si>
    <t xml:space="preserve">92427</t>
  </si>
  <si>
    <t xml:space="preserve">95994</t>
  </si>
  <si>
    <t xml:space="preserve">M6542AD</t>
  </si>
  <si>
    <t xml:space="preserve">HANDLER</t>
  </si>
  <si>
    <t xml:space="preserve">De-installed and warehoused. Can be inspected by appointment. In Asia 
region.
Target Packages 	  	: TSOP-II, TSOP-I, SOP, TQFP
  	  	FBGA, mBGA, CSP
P/P Mode 	  	: Tray Type
Temperature Control 	  	: Ambient, Hot, Cold (-30~125℃) Option -55℃
Parallel Testing 	  	: 128 Para Test
Index Time 	  	: 5.5 sec
UPH 	  	: 16,200 ea
Test Site Step 	  	: 1, 2, 4 Step
Interface 	  	: GPIB, RS232C
Dimensions (WxDxH) 	  	: 1,980 x 2,040 x 1,860 mm
Auto Loader/Unloader 	  	 
Gross Mass 	  	: Approximately 1,650 kg
Power Requirement 	  	: 220VAC±10% 3 Phases, 50~60
 </t>
  </si>
  <si>
    <t xml:space="preserve">95995</t>
  </si>
  <si>
    <t xml:space="preserve">De-installed and warehoused. Can be inspected by appointment. In Asia 
region.</t>
  </si>
  <si>
    <t xml:space="preserve">102946</t>
  </si>
  <si>
    <t xml:space="preserve">TEST HANDLER</t>
  </si>
  <si>
    <t xml:space="preserve">78327</t>
  </si>
  <si>
    <t xml:space="preserve">92426</t>
  </si>
  <si>
    <t xml:space="preserve">86071</t>
  </si>
  <si>
    <t xml:space="preserve">M6741A</t>
  </si>
  <si>
    <t xml:space="preserve">Automated Test HANDLER</t>
  </si>
  <si>
    <t xml:space="preserve">92424</t>
  </si>
  <si>
    <t xml:space="preserve">92423</t>
  </si>
  <si>
    <t xml:space="preserve">M6751A</t>
  </si>
  <si>
    <t xml:space="preserve">86052</t>
  </si>
  <si>
    <t xml:space="preserve">M6751AD</t>
  </si>
  <si>
    <t xml:space="preserve">200 MM</t>
  </si>
  <si>
    <t xml:space="preserve">86072</t>
  </si>
  <si>
    <t xml:space="preserve">M6771</t>
  </si>
  <si>
    <t xml:space="preserve">92425</t>
  </si>
  <si>
    <t xml:space="preserve">M6771AD</t>
  </si>
  <si>
    <t xml:space="preserve">86061</t>
  </si>
  <si>
    <t xml:space="preserve">T5335</t>
  </si>
  <si>
    <t xml:space="preserve">Automated Test System</t>
  </si>
  <si>
    <t xml:space="preserve">92451</t>
  </si>
  <si>
    <t xml:space="preserve">88386</t>
  </si>
  <si>
    <t xml:space="preserve">T5365P (some boards are missing) </t>
  </si>
  <si>
    <t xml:space="preserve">Automated Test Equipment</t>
  </si>
  <si>
    <t xml:space="preserve">De-installed. In a test facility. Can be sold “as is”, or with 
functionality guarantee</t>
  </si>
  <si>
    <t xml:space="preserve">86062</t>
  </si>
  <si>
    <t xml:space="preserve">T5371</t>
  </si>
  <si>
    <t xml:space="preserve">92452</t>
  </si>
  <si>
    <t xml:space="preserve">94024</t>
  </si>
  <si>
    <t xml:space="preserve">Test System</t>
  </si>
  <si>
    <t xml:space="preserve">Test</t>
  </si>
  <si>
    <t xml:space="preserve">Deinstalled, warehoused. Can be inspected by appointment. The detailed 
configuration is available on request.</t>
  </si>
  <si>
    <t xml:space="preserve">88387</t>
  </si>
  <si>
    <t xml:space="preserve">T5375 mother boards</t>
  </si>
  <si>
    <t xml:space="preserve">Mother boards</t>
  </si>
  <si>
    <t xml:space="preserve">92466</t>
  </si>
  <si>
    <t xml:space="preserve">T5375 mother boards.</t>
  </si>
  <si>
    <t xml:space="preserve">Test System (Parts)</t>
  </si>
  <si>
    <t xml:space="preserve">102506</t>
  </si>
  <si>
    <t xml:space="preserve">T5375-0040</t>
  </si>
  <si>
    <t xml:space="preserve">Includes:
-Chiller
-Workstation.
-Mainframe
-Tester Head
System configuration available.
Please check pitures below form more information.</t>
  </si>
  <si>
    <t xml:space="preserve">88388</t>
  </si>
  <si>
    <t xml:space="preserve">T5377 mother boards</t>
  </si>
  <si>
    <t xml:space="preserve">92465</t>
  </si>
  <si>
    <t xml:space="preserve">T5377 mother boards.</t>
  </si>
  <si>
    <t xml:space="preserve">102657</t>
  </si>
  <si>
    <t xml:space="preserve">T5377S</t>
  </si>
  <si>
    <t xml:space="preserve">Memory Tester</t>
  </si>
  <si>
    <t xml:space="preserve">Installed - In Production CONFIGURATION OF TEST HEAD�PIN CONFIGURATION��1. 
512DR+ 320I/O(QUARTER)�����������2.1024DR+ 
640I/O(HALF)�����������3.2048DR+1280I/O(FULL)��[1-3] ...&gt; 3CONFIGURATION OF 
TEST HEAD��PE BOARD�����0.NOT EXIST����������1.��EXIST�������������DR 
PIN��1A1�1A5 17A1 25A1����������CHILD A,B 
....&gt;�1��1��1��1�������������CHILD C,D ....&gt;�1��1��1��1�������������CHILD 
E,F ....&gt;�1��1��1��1�������������CHILD G,H 
....&gt;�1��1��1��1����������������IO PIN��33A1 97A1 33A5 97A5����������CHILD 
A,B ....&gt;�1��1��1��1�������������CHILD C,D 
....&gt;�1��1��1��1�������������CHILD E,F ....&gt;�1��1��1��1�������������CHILD 
G,H ....&gt;�1��1��1��1���CONFIGURATION OF DPU���������DC��CONFIGURATION 
[1-128] ..........&gt; 1-128���������PPS��CONFIGURATION [1-256] ..........&gt; 
1-256�AC FREQUENCY (Hz)���[50,60] ........................&gt; 60CONFIGURATION 
OF FTU��FLASH OPTION�����[Y,N] ...........................&gt; NOCONFIGURATION 
OF FM�NUMBER OF FMRA BOARD [0-8] ...........................&gt; 8�SIZE OF 
FMRA BOARD��[1:8G,2:16G,3:32G] ..............&gt; 3�PM(PATTERN MEMORY) BOARD 
EXIST [Y,N] .................&gt; NOCONFIGURATION OF MRA�MRA4 EXIST [Y,N] 
.....................................&gt; YES��RCPU�STN1 A-D EXIST [Y,N] 
.......................&gt; YES��RCPU�STN1 E-H EXIST [Y,N] 
.......................&gt; YES</t>
  </si>
  <si>
    <t xml:space="preserve">86055</t>
  </si>
  <si>
    <t xml:space="preserve">T5382A1</t>
  </si>
  <si>
    <t xml:space="preserve">86060</t>
  </si>
  <si>
    <t xml:space="preserve">T5383</t>
  </si>
  <si>
    <t xml:space="preserve">-Currently de-installed and warehoused
-Can be sold in "as is" conditions, or with power up testing and 
installation.
-Please send us an inquiry to know more details.
Detailed configuration of the system which is available for purchase:-
1. Preface
The specifications contained herewith specify the functions and 
compositions of the specific system.
The description of the specifications is intended to make the individual 
specification of respective system clear, and T5383 MEMORY TEST SYSTEM 
PRODUCT DESCRIPTION provided separately shall be referred to for 
performance.
The specifications herewith exclusively apply in preference to the PRODUCT 
DESCRIPTION manual in case that any differences exist.
2. Hardware
2-1. Measurement section Test station No.1
2-1-1. Channel configuration
Full    6144ch: Dr: 2304ch, I/O: 2304ch, LVDr: 1536ch
2-1-2. Trigger terminal    1set
2-1-3. FC    144CH
2-1-4. DC Test Unit    192CH/STN
2-1-5. ADD LVDr (94CHX4)    1set
2-1-6. Programmable Power Supply
PPS EXTENSION UNIT (64CHX9)    1set
2-1-7. Timing generator
-Number of timing edges    ACLK    : 128edges BCLK    : 128edges
CCLK : 128edges DRECLKL : 128edges DRECLKT : 128edges STRB : 4edges WSTRB   
:  1edge
-Timing set    16
2-1-8. Pattern Generator
-ALPG    X register - 24bits,  Y register - 24bits
2-1-9. Driver output reference level (VIH,VIL)
16pairs
2-1-10.Comparator input reference level (VOH,VOL)
16pairs
2-1-11.Terminator voltage (VT)
16pairs
2-1-12.Programmable load (PL)
16pairs
2-1-13.Failure analysis memory (16Gbits/board)
0set
2-1-14.Hard MRA4ev3(16Gbits/board)
12sets
-MRA Station configuration  FMRA 1-12  RCPU 1-6
RDB 1-3
2-1-15.Flash Memory Parallel Test Option
0set
2-2. Control section
2-2-1.
Tester processor (TP7)
-Memory Capacity
1.5GBytes
2-2-2.
System processor
H3-610201
1set
-CPU(Pentium4 2.8GHz)
-Memory Capacity
512MBytes
-80GB X 1  Hard disk
-Primary Ethernet:10/100Base-TX
-Secondary Ethernet:10/100/1000Base-T
-GP-IB Interfae
-DVD-ROM Drive
-3.5 Inch Floppy disk drive (1.44MB)
2-2-3.
Additional Memory (1GB)
1set
2-2-4.
LCD monitor(19-inch)
H3-610204
1set
2-2-5.
KVM Switch
H3-610203
1set
3. Safety section (Standard)
3-1. Emergency off switch(EMO switch) without key    1set
3-2. Photoelectric smoke detector    1set
T5383_QIM1 2
4. Accessories
4-1. Standard accessories    1set
4-2. Testing accessories
4-2-1. Temporary TH Stand    H9-911009    1set
4-2-2. Cable duct L
H9-90889
1set
4-2-3. Extender card
H3-910867
1set
4-2-4. Mother board lifter connect
H9-911159
1set
4-2-5. Prober connection kit
H3-010160
1set
4-2-6. Mother board
SH7-010199
1set
4-2-7. DIAG PC
SWUN-T103251
1set
4-2-8. Mother board shipping cart
SH9-911169
1set
4-2-9. Additional EMO switch
H3-71169
1set
5. System ratings
5-1. Power line voltage
-180 - 220 VAC (50A 3-phase power source)    4lines
5-2. Power consumption (Max)
-200 VAC    54KVA
5-3. Air Requirement
Each test station requires following air sources for the performance board 
is locking and unlocking by air pressure.
-Air consumption (Dry air)    0.49-0.69MPa
5-4. Cooling Water
5-4-1. Cooling Water Supply Conditions
-Temperature Range    7 to 20 Degree C
-Water Feed Rate    38 to 107 L/min or more
-Supplied Water Pressure    0.2 to 0.7MPa Note : The water quality depends 
to the standard of the Japan
Refrigeration and Air Conditioning Industry Association (JRA-GL-02-1994).
There are mutual relation up to the temperature and flowing quantity.
5-4-2. Pipe Coupling Conditions
-Cooling Water entrance Bore diameter Rcl 1/4(with a valve) 1place
-Cooling Water exit Bore diameter Rcl 1/4(with a valve)    1place Please 
prepare the hose for the cooling water by yourself.
5-5. Weight (Approx.)    2600Kg
6. Suppression of radio frequency interference option
FCC Part 15    0set
CE Mark (Include FCC Part 15 Rules)    1set Note;The system has been found 
to comply with Part 15 of FCC Rules for
Class A computing devcice.
7. Place of installation
Qimonda Dresden GmbH &amp; Co. OHG Koenigsbruecker Str. 180
01099 Dresden Germany
8. Certification of calibration
8-1. for test system    1set
8-2. for digital volt meter    1set
9. Custom Specifications
9-1. 2nd Ethernet IP Address    172.20.xxx
------------------------------------------------------------------------
------------------------------------------------------------------------
T5383_QIM1 3
10. Others
MODEL NAME PLATE DESCRIPTION:T5383 QIM1
NOTE: FONT &amp; COLOR ARE NOT SELECTABLE.
POWER LINE FREQUENCY 50HZ
Connective type : UF3000EX
11. Software and Manuals
11-1. FutureSuite Software    PNFS00-00LZWS    1set
-SuSE Linux Professional 9.2 Media kit
-FutureSuite
11-2. Optional Software
11-2-1. WFBRead00    PWFR00-83LDIS    1set
11-2-2. FutureSuite MRA    PFMR00-00LDIS    1set 11-3. Manuals
</t>
  </si>
  <si>
    <t xml:space="preserve">92450</t>
  </si>
  <si>
    <t xml:space="preserve">86701</t>
  </si>
  <si>
    <t xml:space="preserve">TEST SYSTEM</t>
  </si>
  <si>
    <t xml:space="preserve">Good condition, never used, still in crates;
Configuration per below.</t>
  </si>
  <si>
    <t xml:space="preserve">92449</t>
  </si>
  <si>
    <t xml:space="preserve">T5501</t>
  </si>
  <si>
    <t xml:space="preserve">88389</t>
  </si>
  <si>
    <t xml:space="preserve">T5581</t>
  </si>
  <si>
    <t xml:space="preserve">SYSTEM CONFIGURATION GENERATE
CONFIGURATION OF TEST HEAD
PIN CONFIGURATION 1.640DR+288I/O
2.960DR+288I/O
3.640DR+576I/O
4.960DR+576I/O [1-4] ............&gt; 4
TH CABLE LENGTH 1.5M
2.8M [1,2] ......................&gt; 1
NUMBER OF TEST HEAD [1,2] ...........................&gt; 2
CONFIGURATION OF TEST HEAD 1
TEST HEAD TYPE 1.816CH
2.1600CH [1,2] .....................&gt; 2
PE BOARD TYPE 0.NO BOARD
1.BGM-021633 (FULL PE)
2.BGM-021633X02 (I/O PE)
3.BGM-021633X03 (DR PE)
SLOT 33 36 39 161 164 167
CHILD A ....&gt; 1 1 1 1 1 1
CHILD B ....&gt; 1 1 1 1 1 1
CHILD C ....&gt; 1 1 1 1 1 1
CHILD D ....&gt; 1 1 1 1 1 1
CHILD E ....&gt; 1 1 1 1 1 1
CHILD F ....&gt; 1 1 1 1 1 1
CHILD G ....&gt; 1 1 1 1 1 1
CHILD H ....&gt; 1 1 1 1 1 1
CONFIGURATION OF TEST HEAD 2
TEST HEAD TYPE 1.816CH
2.1600CH [1,2] .....................&gt; 2
PE BOARD TYPE 0.NO BOARD
1.BGM-021633 (FULL PE)
2.BGM-021633X02 (I/O PE)
3.BGM-021633X03 (DR PE)
SLOT 33 36 39 161 164 167
CHILD A ....&gt; 1 1 1 1 1 1
CHILD B ....&gt; 1 1 1 1 1 1
CHILD C ....&gt; 1 1 1 1 1 1
CHILD D ....&gt; 1 1 1 1 1 1
CHILD E ....&gt; 1 1 1 1 1 1
CHILD F ....&gt; 1 1 1 1 1 1
CHILD G ....&gt; 1 1 1 1 1 1
CHILD H ....&gt; 1 1 1 1 1 1
CONFIGURATION OF DPU
1'ST DPU : STN 1,2 [Y,N] ..........................&gt; YES
2'ND DPU : STN 1,2 [Y,N] ..........................&gt; YES
TEST HEAD 1 DC CONFIGURATION [1-32] .............&gt; 1-32
10V PPS SPEC [1,2] (1:0.4A 2:0.8A) ......&gt; 2
10V PPS CONFIGURATION [1-64] .............&gt; 1-64
16V PPS CONFIGURATION [33-64] ............&gt;
HV PPS CONFIGURATION [1-4] .............&gt;
TEST HEAD 2 DC CONFIGURATION [1-32] .............&gt; 1-32
10V PPS SPEC [1,2] (1:0.4A 2:0.8A) ......&gt; 2
10V PPS CONFIGURATION [1-64] .............&gt; 1-64
16V PPS CONFIGURATION [33-64] ............&gt;
HV PPS CONFIGURATION [1-4] .............&gt;
1'ST GPIB I/F BOARD 0.NONE
1.BGR-010944X01
2.BGR-010944X02
3.BGR-010944X03
4.BGR-010944X04
5.BGK-012718 [0-5] .........&gt; 0
2'ND GPIB I/F BOARD 0.NONE
1.BGR-016793 (DPU I/F)
2.BGR-010944X05
3.BGK-012718X02 [0-3] .........&gt; 1
DMM TYPE 1.TR6861
2.R6871E
3.R6551
4.R6552T [1-4] .........&gt; 4
AC FREQUENCY (Hz) [50,60] ........................&gt; 60
CONFIGURATION OF ALPG
NUMBER OF ALPG [1,2,4] ..............................&gt; 2
CONFIGURATION OF DBM
DBM OPTION EXIST [Y,N] ..............................&gt; NO
CONFIGURATION OF FM
NUMBER OF FM BOARD [0-4] ............................&gt; 0
PATTERN MEMORY(PM) BOARD EXIST [Y,N] ................&gt; NO
Complete with no missing parts, fully operational and available for 
powered-up inspection.
</t>
  </si>
  <si>
    <t xml:space="preserve">88390</t>
  </si>
  <si>
    <t xml:space="preserve">T5581 mother boards</t>
  </si>
  <si>
    <t xml:space="preserve">92464</t>
  </si>
  <si>
    <t xml:space="preserve">T5581 mother boards.</t>
  </si>
  <si>
    <t xml:space="preserve">102565</t>
  </si>
  <si>
    <t xml:space="preserve">T5581D</t>
  </si>
  <si>
    <t xml:space="preserve">86066</t>
  </si>
  <si>
    <t xml:space="preserve">T5581H</t>
  </si>
  <si>
    <t xml:space="preserve">92453</t>
  </si>
  <si>
    <t xml:space="preserve">92457</t>
  </si>
  <si>
    <t xml:space="preserve">86063</t>
  </si>
  <si>
    <t xml:space="preserve">T5585</t>
  </si>
  <si>
    <t xml:space="preserve">-Currently de-installed and warehoused
-Can be sold in "as is" conditions, or with power up testing and 
installation.
-Please send us an inquiry to know more details.
-Sold with M6541AD
</t>
  </si>
  <si>
    <t xml:space="preserve">92454</t>
  </si>
  <si>
    <t xml:space="preserve">102069</t>
  </si>
  <si>
    <t xml:space="preserve">MEMORY TESTER</t>
  </si>
  <si>
    <t xml:space="preserve">102070</t>
  </si>
  <si>
    <t xml:space="preserve">79035</t>
  </si>
  <si>
    <t xml:space="preserve">88391</t>
  </si>
  <si>
    <t xml:space="preserve">T5585 with M6300</t>
  </si>
  <si>
    <t xml:space="preserve">88392</t>
  </si>
  <si>
    <t xml:space="preserve">T5585 with M6541AD.</t>
  </si>
  <si>
    <t xml:space="preserve">92458</t>
  </si>
  <si>
    <t xml:space="preserve">102508</t>
  </si>
  <si>
    <t xml:space="preserve">T5588</t>
  </si>
  <si>
    <t xml:space="preserve">Memory TESTER (Parts only)</t>
  </si>
  <si>
    <t xml:space="preserve">88393</t>
  </si>
  <si>
    <t xml:space="preserve">T5592 with M6541AD.</t>
  </si>
  <si>
    <t xml:space="preserve">92455</t>
  </si>
  <si>
    <t xml:space="preserve">102071</t>
  </si>
  <si>
    <t xml:space="preserve">T5593</t>
  </si>
  <si>
    <t xml:space="preserve">92456</t>
  </si>
  <si>
    <t xml:space="preserve">T5593 ( afm board ) PARTS</t>
  </si>
  <si>
    <t xml:space="preserve">Automated Test System (Parts)</t>
  </si>
  <si>
    <t xml:space="preserve">92448</t>
  </si>
  <si>
    <t xml:space="preserve">T5593 ( single head )</t>
  </si>
  <si>
    <t xml:space="preserve">88395</t>
  </si>
  <si>
    <t xml:space="preserve">T5593 with M6542AD</t>
  </si>
  <si>
    <t xml:space="preserve">102072</t>
  </si>
  <si>
    <t xml:space="preserve">T5771</t>
  </si>
  <si>
    <t xml:space="preserve">99380</t>
  </si>
  <si>
    <t xml:space="preserve">T5771ES</t>
  </si>
  <si>
    <t xml:space="preserve">TRUNCATED: -in working condition.
-see photos and configuration for details.
*******************************************************************************
**         T5771ES SYSTEM DIAGNOSTICS        REV:3.02-2                     
 **
**         SYSTEM ID. T5771                                            **
**         START AT   2020/05/18 13:03:49                                   
 **
**                                                                          
 **
**              TEST MODE : PASS PRINT                                      
 **
**              SPEC      : 100.0                                           
 **
*******************************************************************************
TEST 163010 TH CONTROL WORD CHECK 
TEST 163010 RESULT ------------------------------------------------&gt; 
***PASS
TEST 163020 TH HGND CONNECTION CHECK 
TEST 163020 RESULT ------------------------------------------------&gt; 
***PASS
TEST 163030 TH PERFORMANCE BOARD READ CHECK 
TEST 163030 RESULT ------------------------------------------------&gt; 
***PASS
TEST 163120 TH VS/VSMASK CHECK 
TEST 163120 RESULT ------------------------------------------------&gt; 
***PASS
TEST 163130 TH PCON/PCONMASK CHECK 
TEST 163130 RESULT ------------------------------------------------&gt; 
***PASS
TEST 163220 TH SIGNAL PIN CONNECTION CHECK 
TEST 163220 RESULT ------------------------------------------------&gt; 
***PASS
TEST 163310 TH OUTPUT RELAY CHECK 
TEST 163310 RESULT ------------------------------------------------&gt; 
***PASS
TEST 163320 TH HV OUT/CONTROL RELAY CHECK 
TEST 163320 RESULT ------------------------------------------------&gt; 
***PASS
TEST 163610 TH DC LEAK CHECK 
TEST 163610 RESULT ------------------------------------------------&gt; 
***PASS
TEST 101003 DPU IFL R-ONLY REG 
TEST 101003 RESULT ------------------------------------------------&gt; 
***PASS
TEST 101008 DPU IFL W/R 
TEST 101008 RESULT ------------------------------------------------&gt; 
***PASS
TEST 101018 DPU IFL RON/ROF REG 
TEST 101018 RESULT ------------------------------------------------&gt; 
***PASS
TEST 101034 DPU RESET 
TEST 101034 RESULT ------------------------------------------------&gt; 
***PASS
TEST 101103 DPU IFA W/R 
TEST 101103 RESULT ------------------------------------------------&gt; 
***PASS
TEST 101108 DPU IFA RESET 
TEST 101108 RESULT ------------------------------------------------&gt; 
***PASS
TEST 101113 DPU IFA CAL REG 
TEST 101113 RESULT ------------------------------------------------&gt; 
***PASS
TEST 101203 DPU DC W/R 
TEST 101203 RESULT ------------------------------------------------&gt; 
***PASS
TEST 101208 DPU DC RESET 
TEST 101208 RESULT ------------------------------------------------&gt; 
***PASS
TEST 101603 DPU PPS W/R 
TEST 101603 RESULT ------------------------------------------------&gt; 
***PASS
TEST 101608 DPU PPS RESET 
TEST 101608 RESULT ------------------------------------------------&gt; 
***PASS
TEST 101703 DPU HVPPS W/R 
TEST 101703 RESULT ------------------------------------------------&gt; 
***PASS
TEST 101708 DPU HVPPS RESET 
TEST 101708 RESULT ------------------------------------------------&gt; 
***PASS
TEST 101803 DPU ADC W/R 
TEST 101803 RESULT ------------------------------------------------&gt; 
***PASS
TEST 101813 DPU ADC FUNC 
TEST 101813 RESULT ------------------------------------------------&gt; 
***PASS
TEST 102103 DPU RL MEAS 
TEST 102103 RESULT ------------------------------------------------&gt; 
***PASS
TEST 102108 DPU IFA ADC CAL 
TEST 102108 RESULT ------------------------------------------------&gt; 
***PASS
TEST 102303 DPU DC VS INIT 
TEST 102303 RESULT ------------------------------------------------&gt; 
***PASS
TEST 102308 DPU DC IM INIT 
TEST 102308 RESULT ------------------------------------------------&gt; 
***PASS
TEST 102313 DPU DC I_CLP INIT 
TEST 102313 RESULT ------------------------------------------------&gt; 
***PASS
TEST 102318 DPU DC IS INIT 
TEST 102318 RESULT ------------------------------------------------&gt; 
***PASS
TEST 102323 DPU DC VM INIT 
TEST 102323 RESULT ------------------------------------------------&gt; 
***PASS
TEST 102328 DPU DC V_CLP INIT 
TEST 102328 RESULT ------------------------------------------------&gt; 
***PASS
TEST 102703 DPU PPS VS INIT 
TEST 102703 RESULT ------------------------------------------------&gt; 
***PASS
TEST 102708 DPU PPS IM INIT 
TEST 102708 RESULT ------------------------------------------------&gt; 
***PASS
TEST 102713 DPU PPS I_CLP INIT 
TEST 102713 RESULT ------------------------------------------------&gt; 
***PASS
TEST 102723 DPU PPS VM INIT 
TEST 102723 RESULT ------------------------------------------------&gt; 
***PASS
TEST 102803 DPU HVPPS VS INIT 
TEST 102803 RESULT ------------------------------------------------&gt; 
***PASS
TEST 102808 DPU HVPPS IM INIT 
TEST 102808 RESULT ------------------------------------------------&gt; 
***PASS
TEST 102813 DPU HVPPS I_CLP INIT 
TEST 102813 RESULT ------------------------------------------------&gt; 
***PASS
TEST 102823 DPU HVPPS VM INIT 
TEST 102823 RESULT ------------------------------------------------&gt; 
***PASS
TEST 103303 DPU DC VS ACCURACY 
TEST 103303 RESULT ------------------------------------------------&gt; 
***PASS
TEST 103308 DPU DC IM ACCURACY 
TEST 103308 RESULT ------------------------------------------------&gt; 
***PASS
TEST 103313 DPU DC IC ACCURACY 
TEST 103313 RESULT ------------------------------------------------&gt; 
***PASS
TEST 103318 DPU DC IS ACCURACY 
TEST 103318 RESULT ------------------------------------------------&gt; 
***PASS
TEST 103323 DPU DC VM ACCURACY 
TEST 103323 RESULT ------------------------------------------------&gt; 
***PASS
TEST 103328 DPU DC VC ACCURACY 
TEST 103328 RESULT ------------------------------------------------&gt; 
***PASS
TEST 103703 DPU PPS VS ACCURACY 
TEST 103703 RESULT ------------------------------------------------&gt; 
***PASS
TEST 103708 DPU PPS IM ACCURACY 
TEST 103708 RESULT ------------------------------------------------&gt; 
***PASS
TEST 103713 DPU PPS IC ACCURACY 
TEST 103713 RESULT ------------------------------------------------&gt; 
***PASS
TEST 103723 DPU PPS VM ACCURACY 
TEST 103723 RESULT ------------------------------------------------&gt; 
***PASS
TEST 103803 DPU HVPPS VS ACCURACY 
TEST 103803 RESULT ------------------------------------------------&gt; 
***PASS
TEST 103808 DPU HVPPS IM ACCURACY 
TEST 103808 RESULT ------------------------------------------------&gt; 
***PASS
TEST 103813 DPU HVPPS IC ACCURACY 
TEST 103813 RESULT ------------------------------------------------&gt; 
***PASS
TEST 103823 DPU HVPPS VM ACCURACY 
TEST 103823 RESULT ------------------------------------------------&gt; 
***PASS
TEST 104313 DPU DC IM SETTLING(NO_LOAD) 
TEST 104313 RESULT ------------------------------------------------&gt; 
***PASS
TEST 104713 DPU PPS IM SETTLING(NO_LOAD) 
TEST 104713 RESULT ------------------------------------------------&gt; 
***PASS
TEST 104813 DPU HVPPS IM SETTLING(NO_LOAD) 
TEST 104813 RESULT ------------------------------------------------&gt; 
***PASS
TEST 106303 DPU DC CLP/GRD ALARM 
TEST 106303 RESULT ------------------------------------------------&gt; 
***PASS
TEST 106703 DPU PPS CLP ALARM 
TEST 106703 RESULT ------------------------------------------------&gt; 
***PASS
TEST 106708 DPU PPS GRD ALARM 
TEST 106708 RESULT ------------------------------------------------&gt; 
***PASS
TEST 106803 DPU HVPPS CLP ALARM 
TEST 106803 RESULT ------------------------------------------------&gt; 
***PASS
TEST 106808 DPU HVPPS GRD ALARM 
TEST 106808 RESULT ------------------------------------------------&gt; 
***PASS
TEST 120001 OBM Memory Size Check 
TEST 120001 RESULT ------------------------------------------------&gt; 
***PASS
TEST 120002 OBM Register Read/Write Check 
TEST 120002 RESULT ------------------------------------------------&gt; 
***PASS
TEST 120003 OBM Register Reset Check 
TEST 120003 RESULT ------------------------------------------------&gt; 
***PASS
TEST 120004 OBM DataRAM Read/Write Check 
TEST 120004 RESULT ------------------------------------------------&gt; 
***PASS
TEST 120005 OBM DataRAM Clear Check 
TEST 120005 RESULT ------------------------------------------------&gt; 
***PASS
TEST 120006 OBM Memory Normal Read/Write Check 
TEST 120006 RESULT ------------------------------------------------&gt; 
***PASS
TEST 120007 OBM Memory Read/Write By DMA Check 
TEST 120007 RESULT ------------------------------------------------&gt; 
***PASS
TEST 120008 OBM PinDefineTable Read/Write Check 
TEST 120008 RESULT ------------------------------------------------&gt; 
***PASS
TEST 120009 OBM Tester Bus Access Check 
TEST 120009 RESULT ------------------------------------------------&gt; 
***PASS
TEST 120010 OBM FIFO Access Check 
TEST 120010 RESULT ------------------------------------------------&gt; 
***PASS
TEST 120020 OBM Load/Store Instruction Check 
TEST 120020 RESULT ------------------------------------------------&gt; 
***PASS
TEST 120021 OBM Arithmetic Instruction Check 
TEST 120021 RESULT ------------------------------------------------&gt; 
***PASS
TEST 120022 OBM Logical Instruction Check 
TEST 120022 RESULT ------------------------------------------------&gt; 
***PASS
TEST 120023 OBM Branch Instruction Check 
TEST 120023 RESULT ------------------------------------------------&gt; 
***PASS
TEST 120024 OBM Return Instruction Check 
TEST 120024 RESULT ------------------------------------------------&gt; 
***PASS
TEST 120025 OBM NOP Instruction Check 
TEST 120025 RESULT ------------------------------------------------&gt; 
***PASS
TEST 120026 OBM Pause Instruction Check 
TEST 120026 RESULT ------------------------------------------------&gt; 
***PASS
TEST 120030 OBM Break Controller Check 1 
TEST 120030 RESULT ------------------------------------------------&gt; 
***PASS
TEST 120031 OBM Break Controller Check 2 
TEST 120031 RESULT ------------------------------------------------&gt; 
***PASS
TEST 120032 OBM Break Controller Check 3 
TEST 120032 RESULT ------------------------------------------------&gt; 
***PASS
TEST 120033 OBM Break Controller Check 4 
TEST 120033 RESULT ------------------------------------------------&gt; 
***PASS
TEST 120034 OBM Break Controller Check 5 
TEST 120034 RESULT ------------------------------------------------&gt; 
***PASS
TEST 120035 OBM Break Controller Check 6 
TEST 120035 RESULT ------------------------------------------------&gt; 
***PASS
TEST 120036 OBM Break Controller Check 7 
TEST 120036 RESULT ------------------------------------------------&gt; 
***PASS
TEST 120037 OBM Break Controller Check 8 
TEST 120037 RESULT ------------------------------------------------&gt; 
***PASS
TEST 120038 OBM Break Controller Check 9 
TEST 120038 RESULT ------------------------------------------------&gt; 
***PASS
TEST 120039 OBM Break Controller Check 10 
TEST 120039 RESULT ------------------------------------------------&gt; 
***PASS
TEST 120040 OBM Bus Timer check 
TEST 120040 RESULT ------------------------------------------------&gt; 
***PASS
TEST 121000 ALPG PG Register Read/Write Check 
TEST 121000 RESULT ------------------------------------------------&gt; 
***PASS
TEST 121001 ALPG PM Register Read/Write Check 
TEST 121001 RESULT ------------------------------------------------&gt; 
***PASS
TEST 121002 ALPG PDS Register Read/W Check 
TEST 121002 RESULT ------------------------------------------------&gt; 
***PASS
TEST 121003 ALPG PDS PinData Register Read/Write Check 
TEST 121003 RESULT ------------------------------------------------&gt; 
***PASS
TEST 121004 ALPG PG Register Reset Check 
TEST 121004 RESULT ------------------------------------------------&gt; 
***PASS
TEST 121005 PM Register Reset Check 
TEST 121005 RESULT ------------------------------------------------&gt; 
***PASS
TEST 121006 PDS Register Reset Check 
TEST 121006 RESULT ------------------------------------------------&gt; 
***PASS
TEST 121007 PDS Pindata Reg Reset Check 
TEST 121007 RESULT ------------------------------------------------&gt; 
***PASS
TEST 121008 ALPG WCS Normal Read/Write Check 
TEST 121008 RESULT ------------------------------------------------&gt; 
***PASS
TEST 121009 ALPG XSCRAM Normal Read/Write Check 
TEST 121009 RESULT ------------------------------------------------&gt; 
***PASS
TEST 121010 ALPG YSCRAM Normal Read/Write Check 
TEST 121010 RESULT ------------------------------------------------&gt; 
***PASS
TEST 121011 ALPG ZSCRAM Normal Read/Write Check 
TEST 121011 RESULT ------------------------------------------------&gt; 
***PASS
TEST 121012 ALPG CBM Read/Write Check 
TEST 121012 RESULT ------------------------------------------------&gt; 
***PASS
TEST 121013 ALPG DFM Read/Write Check 
TEST 121013 RESULT ------------------------------------------------&gt; 
***PASS
TEST 121014 ALPG Serializer Memory Read/Write Check 
TEST 121014 RESULT ------------------------------------------------&gt; 
***PASS
TEST 121015 ALPG WCS Read/Write By DMA Check 
TEST 121015 RESULT ------------------------------------------------&gt; 
***PASS
TEST 121016 ALPG SCRAM Read/Write By DMA Check 
TEST 121016 RESULT ------------------------------------------------&gt; 
***PASS
TEST 121020 ALPG CTRL Period Generator Check 1 
TEST 121020 RESULT ------------------------------------------------&gt; 
***PASS
TEST 121021 ALPG CTRL Period Generator Check 2 
TEST 121021 RESULT ------------------------------------------------&gt; 
***PASS
TEST 121022 ALPG CTRL Period Generator Check 3 
TEST 121022 RESULT ------------------------------------------------&gt; 
***PASS
TEST 121023 ALPG CTRL Period Generator Check 4 
TEST 121023 RESULT ------------------------------------------------&gt; 
***PASS
TEST 121024 ALPG CTRL Debug Mode Check 1 
TEST 121024 RESULT ------------------------------------------------&gt; 
***PASS
TEST 121025 ALPG CTRL Debug Mode Check 2 
TEST 121025 RESULT ------------------------------------------------&gt; 
***PASS
TEST 121100 ALPG PC STA Check 
TEST 121100 RESULT ------------------------------------------------&gt; 
***PASS
TEST 121101 ALPG PC PgStop PgReset Check 
TEST 121101 RESULT ------------------------------------------------&gt; 
***PASS
TEST 121102 ALPG PC NOP Instruction Check 
TEST 121102 RESULT ------------------------------------------------&gt; 
***PASS
TEST 121103 ALPG PC JMP Instruction Check 
TEST 121103 RESULT ------------------------------------------------&gt; 
***PASS
TEST 121104 ALPG PC JBR Instruction Check 
TEST 121104 RESULT ------------------------------------------------&gt; 
***PASS
TEST 121105 ALPG PC JSR/RTN Instruction Check 1 
TEST 121105 RESULT ------------------------------------------------&gt; 
***PASS
TEST 121106 ALPG PC JSR/RTN Instruction Check 2 
TEST 121106 RESULT ------------------------------------------------&gt; 
***PASS
TEST 121107 ALPG PC JSR/RTN Instruction Check 3 
TEST 121107 RESULT ------------------------------------------------&gt; 
***PASS
TEST 121108 ALPG PC JNI Instruction Check 1 
TEST 121108 RESULT ------------------------------------------------&gt; 
***PASS
TEST 121109 ALPG PC JNI Instruction Check 2 
TEST 121109 RESULT ------------------------------------------------&gt; 
***PASS
TEST 121110 ALPG PC JNI Instruction Check 3 
TEST 121110 RESULT ------------------------------------------------&gt; 
***PASS
TEST 121111 ALPG PC JNI Instruction Check 4 
TEST 121111 RESULT ------------------------------------------------&gt; 
***PASS
TEST 121112 ALPG PC JNI Instruction Check 5 
TEST 121112 RESULT ------------------------------------------------&gt; 
***PASS
TEST 121113 ALPG PC JNI Instruction Check 6 
TEST 121113 RESULT ------------------------------------------------&gt; 
***PASS
TEST 121114 ALPG PC JZD Instruction Check 
TEST 121114 RESULT ------------------------------------------------&gt; 
***PASS
TEST 121115 ALPG PC JAF Instruction Check 
TEST 121115 RESULT ------------------------------------------------&gt; 
***PASS
TEST 121116 ALPG PC OUT Instruction Check 1 
TEST 121116 RESULT ------------------------------------------------&gt; 
***PASS
TEST 121117 ALPG PC OUT Instruction Check 2 
TEST 121117 RESULT ------------------------------------------------&gt; 
***PASS
TEST 121118 ALPG PC WAIT Instruction Check 1 
TEST 121118 RESULT ------------------------------------------------&gt; 
***PASS
TEST 121119 ALPG PC WAIT Instruction Check 2 
TEST 121119 RESULT ------------------------------------------------&gt; 
***PASS
TEST 121120 ALPG PC STPS Instruction Check 
TEST 121120 RESULT ------------------------------------------------&gt; 
***PASS
TEST 121121 ALPG PC STFL Instruction Check 
TEST 121121 RESULT ------------------------------------------------&gt; 
***PASS
TEST 121122 ALPG PC FLGL Instruction Check 1 
TEST 121122 RESULT ------------------------------------------------&gt; 
***PASS
TEST 121123 ALPG PC FLGL Instruction Check 2 
TEST 121123 RESULT ------------------------------------------------&gt; 
***PASS
TEST 121124 ALPG PC FLGLIn Instruction Check 1 
TEST 121124 RESULT ------------------------------------------------&gt; 
***PASS
TEST 121125 ALPG PC FLGLIn Instruction Check 2 
TEST 121125 RESULT ------------------------------------------------&gt; 
***PASS
TEST 121126 ALPG PC FLGLIn Instruction Check 3 
TEST 121126 RESULT ------------------------------------------------&gt; 
***PASS
TEST 121127 ALPG PC FLGLIn Instruction Check 4 
TEST 121127 RESULT ------------------------------------------------&gt; 
***PASS
TEST 121128 ALPG PC FFLGL Instruction Check 1 
TEST 121128 RESULT ------------------------------------------------&gt; 
***PASS
TEST 121129 ALPG PC FFLGL Instruction Check 2 
TEST 121129 RESULT ------------------------------------------------&gt; 
***PASS
TEST 121130 ALPG PC FFLGL Instruction Check 3 
TEST 121130 RESULT ------------------------------------------------&gt; 
***PASS
TEST 121131 ALPG PC FFLGLIn Instruction Check 1 
TEST 121131 RESULT ------------------------------------------------&gt; 
***PASS
TEST 121132 ALPG PC FFLGLIn Instruction Check 2 
TEST 121132 RESULT ------------------------------------------------&gt; 
***PASS
TEST 121133 ALPG PC FFLGLIn Instruction Check 3 
TEST 121133 RESULT ------------------------------------------------&gt; 
***PASS
TEST 121134 ALPG PC FFLGLIn Instruction Check 4 
TEST 121134 RESULT ------------------------------------------------&gt; 
***PASS
TEST 121135 ALPG PC FFLGLIn Instruction Check 5 
TEST 121135 RESULT ------------------------------------------------&gt; 
***PASS
TEST 121136 ALPG PC FLGS Instruction Check 1 (ADC ExternalFlag) 
TEST 121136 RESULT ------------------------------------------------&gt; 
***PASS
TEST 121137 ALPG PC FLGS Instruction Check 2 (ADC InternalFlag) 
TEST 121137 RESULT ------------------------------------------------&gt; 
***PASS
TEST 121138 ALPG PC FLGS Instruction Check 3 (FCNT ExternalFlag) 
TEST 121138 RESULT ------------------------------------------------&gt; 
***PASS
TEST 121139 ALPG PC FLGS Instruction Check 4 (FCNT InternalFlag) 
TEST 121139 RESULT ------------------------------------------------&gt; 
***PASS
TEST 121140 ALPG PC FLGERR Check 1 (FLGS) 
TEST 121140 RESULT ------------------------------------------------&gt; 
***PASS
TEST 121141 ALPG PC FLGERR Check 2 (FLGL) 
TEST 121141 RESULT ------------------------------------------------&gt; 
***PASS
TEST 121142 ALPG PC FLGERR Check 3 (FFLGLIn) 
TEST 121142 RESULT ------------------------------------------------&gt; 
***PASS
TEST 121143 ALPG PC FLGERR Check 4 (FLGL Repeat Stop) 
TEST 121143 RESULT ------------------------------------------------&gt; 
***PASS
TEST 121150 ALPG CTRL Repeat Mode Check 1 
TEST 121150 RESULT ------------------------------------------------&gt; 
***PASS
TEST 121151 ALPG CTRL Repeat Mode Check 2 
TEST 121151 RESULT ------------------------------------------------&gt; 
***PASS
TEST 121152 ALPG CTRL Repeat Mode Check 3 
TEST 121152 RESULT ------------------------------------------------&gt; 
***PASS
TEST 121153 ALPG CTRL Repeat Mode Check 4 
TEST 121153 RESULT ------------------------------------------------&gt; 
***PASS
TEST 121154 ALPG CTRL Step Mode Check 1 
TEST 121154 RESULT ------------------------------------------------&gt; 
***PASS
TEST 121155 ALPG CTRL Step Mode Check 2 
TEST 121155 RESULT ------------------------------------------------&gt; 
***PASS
TEST 121156 ALPG CTRL Trace Mode Check 1 
TEST 121156 RESULT ------------------------------------------------&gt; 
***PASS
TEST 121157 ALPG CTRL Trace Mode Check 2 
TEST 121157 RESULT ------------------------------------------------&gt; 
***PASS
TEST 121158 ALPG CTRL Trace Mode Check 3,4 
TEST 121158 RESULT ------------------------------------------------&gt; 
***PASS
TEST 121159 ALPG CTRL Trace Mode Check 5 
TEST 121159 RESULT ------------------------------------------------&gt; 
***PASS
TEST 121160 ALPG CTRL Trace Mode Check 6 
TEST 121160 RESULT ------------------------------------------------&gt; 
***PASS
TEST 121161 ALPG CTRL Trace Mode Check 7 
TEST 121161 RESULT ------------------------------------------------&gt; 
***PASS
TEST 121162 ALPG CTRL Trace Mode Check 8 
TEST 121162 RESULT ------------------------------------------------&gt; 
***PASS
TEST 121163 ALPG CTRL Trace Mode Check 9 
TEST 121163 RESULT ------------------------------------------------&gt; 
***PASS
TEST 121164 ALPG CTRL Trace Mode Check 10 
TEST 121164 RESULT ------------------------------------------------&gt; 
***PASS
TEST 121165 ALPG CTRL Trace Mode Check 11 
TEST 121165 RESULT ------------------------------------------------&gt; 
***PASS
TEST 121166 ALPG CTRL Trace Mode Check 12 
TEST 121166 RESULT ------------------------------------------------&gt; 
***PASS
TEST 121167 ALPG CTRL Trace Mode Check 13 
TEST 121167 RESULT ------------------------------------------------&gt; 
***PASS
TEST 121168 ALPG CTRL Trace Mode Check 14 
TEST 121168 RESULT ------------------------------------------------&gt; 
***PASS
TEST 121169 ALPG CTRL Trace Mode Check 15 
TEST 121169 RESULT ------------------------------------------------&gt; 
***PASS
TEST 121170 ALPG CTRL Trace Mode Check 16 
TEST 121170 RESULT ------------------------------------------------&gt; 
***PASS
TEST 121171 ALPG CTRL Trace Mode Check 17 
TEST 121171 RESULT ------------------------------------------------&gt; 
***PASS
TEST 121172 ALPG CTRL Trace Mode Check 18 
TEST 121172 RESULT ------------------------------------------------&gt; 
***PASS
TEST 121173 ALPG CTRL Trace Mode Check 19 
TEST 121173 RESULT ------------------------------------------------&gt; 
***PASS
TEST 121174 ALPG CTRL Trace Mode Check 20 
TEST 121174 RESULT ------------------------------------------------&gt; 
***PASS
TEST 121175 ALPG CTRL Fail Input Check 1 (TOFL/ANDFL) 
TEST 121175 RESULT ------------------------------------------------&gt; 
***PASS
TEST 121176 ALPG CTRL Fail Input Check 2 (AFAIL) 
TEST 121176 RESULT ------------------------------------------------&gt; 
***PASS
TEST 121177 ALPG CTRL Fail Triger Output Check 
TEST 121177 RESULT ------------------------------------------------&gt; 
***PASS
TEST 121178 ALPG CTRL Fail Stop Check 1 (Fail inh) 
TEST 121178 RESULT ------------------------------------------------&gt; 
***PASS
TEST 121179 ALPG CTRL Fail Stop Check 2 (Fsel/Flash) 
TEST 121179 RESULT ------------------------------------------------&gt; 
***PASS
TEST 121180 ALPG CTRL Fail Counter Inc Check 
TEST 121180 RESULT ------------------------------------------------&gt; 
***PASS
TEST 121181 ALPG CTRL Fail Counter Clear Check 
TEST 121181 RESULT ------------------------------------------------&gt; 
***PASS
TEST 121182 ALPG CTRL Fmax Flag Select Check 1 (Para1) 
TEST 121182 RESULT ------------------------------------------------&gt; 
***PASS
TEST 121183 ALPG CTRL Fmax Flag Select Check 2 (Para2) 
TEST 121183 RESULT ------------------------------------------------&gt; 
***PASS
TEST 121184 ALPG CTRL Fmax Flag Select Check 3 (Para4) 
TEST 121184 RESULT ------------------------------------------------&gt; 
***PASS
TEST 121185 ALPG CTRL Fmax Flag Select Check 4 (Para8) 
TEST 121185 RESULT ------------------------------------------------&gt; 
***PASS
TEST 121186 ALPG CTRL Match Control Check 
TEST 121186 RESULT ------------------------------------------------&gt; 
***PASS
TEST 121201 ALPG AGEN Set Instruction Check 1 
TEST 121201 RESULT ------------------------------------------------&gt; 
***PASS
TEST 121202 ALPG AGEN Set Instruction Check 2 
TEST 121202 RESULT ------------------------------------------------&gt; 
***PASS
TEST 121203 ALPG AGEN Set Instruction Check 3 
TEST 121203 RESULT ------------------------------------------------&gt; 
***PASS
TEST 121204 ALPG AGEN XYZ Base Function Check 
TEST 121204 RESULT ------------------------------------------------&gt; 
***PASS
TEST 121205 ALPG AGEN YZ Base Carry Function Check 
TEST 121205 RESULT ------------------------------------------------&gt; 
***PASS
TEST 121206 ALPG AGEN D3/D4 Function Check 
TEST 121206 RESULT ------------------------------------------------&gt; 
***PASS
TEST 121210 ALPG AGEN XYZ Current ALU Check 1 
TEST 121210 RESULT ------------------------------------------------&gt; 
***PASS
TEST 121211 ALPG AGEN XYZ Current ALU Check 2 
TEST 121211 RESULT ------------------------------------------------&gt; 
***PASS
TEST 121212 ALPG AGEN XYZ Current ALU Check 3 
TEST 121212 RESULT ------------------------------------------------&gt; 
***PASS
TEST 121213 ALPG AGEN Y Current Carry Function Check 1 
TEST 121213 RESULT ------------------------------------------------&gt; 
***PASS
TEST 121214 ALPG AGEN Y Current Carry Function Check 2 
TEST 121214 RESULT ------------------------------------------------&gt; 
***PASS
TEST 121215 ALPG AGEN Z Current Carry Function Check 1 
TEST 121215 RESULT ------------------------------------------------&gt; 
***PASS
TEST 121216 ALPG AGEN Z Current Carry Function Check 2 
TEST 121216 RESULT ------------------------------------------------&gt; 
***PASS
TEST 121220 ALPG AGEN XYZ Base Read Check 
TEST 121220 RESULT ------------------------------------------------&gt; 
***PASS
TEST 121221 ALPG AGEN XYZ Current REG Read Check 
TEST 121221 RESULT ------------------------------------------------&gt; 
***PASS
TEST 121222 ALPG AGEN XYZ Address Select Check 
TEST 121222 RESULT ------------------------------------------------&gt; 
***PASS
TEST 121223 ALPG AGEN XYZ Base Current Select Check 
TEST 121223 RESULT ------------------------------------------------&gt; 
***PASS
TEST 121224 ALPG AGEN XYZ Address Invert Check 
TEST 121224 RESULT ------------------------------------------------&gt; 
***PASS
TEST 121225 ALPG AGEN XYZ Address Mask Check 
TEST 121225 RESULT ------------------------------------------------&gt; 
***PASS
TEST 121300 ALPG AGEN Scram Format Check 
TEST 121300 RESULT ------------------------------------------------&gt; 
***PASS
TEST 121301 ALPG AGEN Scram Enable Check 1 
TEST 121301 RESULT ------------------------------------------------&gt; 
***PASS
TEST 121302 ALPG AGEN Scram Enable Check 2 
TEST 121302 RESULT ------------------------------------------------&gt; 
***PASS
TEST 121303 ALPG DGEN Real Time Set Check 
TEST 121303 RESULT ------------------------------------------------&gt; 
***PASS
TEST 121304 ALPG DGEN TP Instruction Check 
TEST 121304 RESULT ------------------------------------------------&gt; 
***PASS
TEST 121305 ALPG DGEN DSD Instruction Check 
TEST 121305 RESULT ------------------------------------------------&gt; 
***PASS
TEST 121306 ALPG DGEN FP0/FP1 Check 
TEST 121306 RESULT ------------------------------------------------&gt; 
***PASS
TEST 121307 ALPG DGEN FP3 Function check 1 
TEST 121307 RESULT ------------------------------------------------&gt; 
***PASS
TEST 121308 ALPG DGEN FP3 Function check 2 
TEST 121308 RESULT ------------------------------------------------&gt; 
***PASS
TEST 121309 ALPG DGEN FP4 Function check 1 
TEST 121309 RESULT ------------------------------------------------&gt; 
***PASS
TEST 121310 ALPG DGEN FP4 Function check 2 
TEST 121310 RESULT ------------------------------------------------&gt; 
***PASS
TEST 121311 ALPG DGEN FP5 Function check 1 
TEST 121311 RESULT ------------------------------------------------&gt; 
***PASS
TEST 121312 ALPG DGEN FP5 Function check 2 
TEST 121312 RESULT ------------------------------------------------&gt; 
***PASS
TEST 121313 ALPG DGEN FP6 Function check 1 
TEST 121313 RESULT ------------------------------------------------&gt; 
***PASS
TEST 121314 ALPG DGEN FP6 Function check 2 
TEST 121314 RESULT ------------------------------------------------&gt; 
***PASS
TEST 121315 ALPG DGEN TP INV Check 
TEST 121315 RESULT ------------------------------------------------&gt; 
***PASS
TEST 121316 ALPG DGEN CBMA Check 
TEST 121316 RESULT ------------------------------------------------&gt; 
***PASS
TEST 121317 ALPG DGEN CBM Check 
TEST 121317 RESULT ------------------------------------------------&gt; 
***PASS
TEST 121318 ALPG DGEN CPE DRE ETC Check 
TEST 121318 RESULT ------------------------------------------------&gt; 
***PASS
TEST 121319 ALPG DGEN TP PARA Mode Check 
TEST 121319 RESULT ------------------------------------------------&gt; 
***PASS
TEST 121320 ALPG DGEN CD PARA Mode Check 
TEST 121320 RESULT ------------------------------------------------&gt; 
***PASS
TEST 121321 ALPG DGEN Serializer AP Check 1 
TEST 121321 RESULT ------------------------------------------------&gt; 
***PASS
TEST 121322 ALPG DGEN Serializer AP Check 2 
TEST 121322 RESULT ------------------------------------------------&gt; 
***PASS
TEST 121323 ALPG DGEN Serializer AP Clear Check 
TEST 121323 RESULT ------------------------------------------------&gt; 
***PASS
TEST 121324 ALPG DGEN Serializer Output Check 
TEST 121324 RESULT ------------------------------------------------&gt; 
***PASS
TEST 121325 ALPG DGEN FixData REG PARA Mode Check 
TEST 121325 RESULT ------------------------------------------------&gt; 
***PASS
TEST 121326 ALPG DGEN CDREG PARA Mode Check 
TEST 121326 RESULT ------------------------------------------------&gt; 
***PASS
TEST 121400 ALPG PM Size Sense Check 
TEST 121400 RESULT ------------------------------------------------&gt; 
***PASS
TEST 121401 ALPG PM Address Pointer Check 
TEST 121401 RESULT ------------------------------------------------&gt; 
***PASS
TEST 121402 ALPG PM Read Write Check 
TEST 121402 RESULT ------------------------------------------------&gt; 
***PASS
TEST 121403 ALPG PM Scan Mode Check 1 (SET0/1) 
TEST 121403 RESULT ------------------------------------------------&gt; 
***PASS
TEST 121404 ALPG PM Scan Mode Check 2 (DIAG1) 
TEST 121404 RESULT ------------------------------------------------&gt; 
***PASS
TEST 121405 ALPG PM Scan Mode Check 3 (DIAG2) 
TEST 121405 RESULT ------------------------------------------------&gt; 
***PASS
TEST 121406 ALPG PM Scan Start/Stop Check 
TEST 121406 RESULT ------------------------------------------------&gt; 
***PASS
TEST 121407 ALPG PM Read/Write Format Check 
TEST 121407 RESULT ------------------------------------------------&gt; 
***PASS
TEST 121408 ALPG PM Para2/4 Write Check 
TEST 121408 RESULT ------------------------------------------------&gt; 
***PASS
TEST 121409 ALPG PM Para2/4 Read Check 
TEST 121409 RESULT ------------------------------------------------&gt; 
***PASS
TEST 121410 ALPG PM Para2/4 DeviceSel Write Check 
TEST 121410 RESULT ------------------------------------------------&gt; 
***PASS
TEST 121411 ALPG PM Para2/4 DeviceSel Read Check 
TEST 121411 RESULT ------------------------------------------------&gt; 
***PASS
TEST 121412 ALPG PM Full Scan Check 
TEST 121412 RESULT ------------------------------------------------&gt; 
***PASS
TEST 121413 ALPG PM Read/Write by DMA Check 
TEST 121413 RESULT ------------------------------------------------&gt; 
***PASS
TEST 121420 ALPG PM Address Select Check 
TEST 121420 RESULT ------------------------------------------------&gt; 
***PASS
TEST 121421 ALPG PM EXP Mode Check 1 (D&lt;PM) 
TEST 121421 RESULT ------------------------------------------------&gt; 
***PASS
TEST 121422 ALPG PM Memory Block Select Check 
TEST 121422 RESULT ------------------------------------------------&gt; 
***PASS
TEST 121423 ALPG PM EXP Mode Check 2 (WPM) 
TEST 121423 RESULT ------------------------------------------------&gt; 
***PASS
TEST 121424 ALPG PM Mode Register Check 
TEST 121424 RESULT ------------------------------------------------&gt; 
***PASS
TEST 121425 ALPG PM EXP Mode Check 3 (Para WPM) 
TEST 121425 RESULT ------------------------------------------------&gt; 
***PASS
TEST 121426 ALPG PM Mask Mode C</t>
  </si>
  <si>
    <t xml:space="preserve">102566</t>
  </si>
  <si>
    <t xml:space="preserve">T6573</t>
  </si>
  <si>
    <t xml:space="preserve">94433</t>
  </si>
  <si>
    <t xml:space="preserve">T7332</t>
  </si>
  <si>
    <t xml:space="preserve">101694</t>
  </si>
  <si>
    <t xml:space="preserve">Various</t>
  </si>
  <si>
    <t xml:space="preserve">Boards - SEE ATTACHED LIST</t>
  </si>
  <si>
    <t xml:space="preserve">491</t>
  </si>
  <si>
    <t xml:space="preserve">Manufacturer
Part Number
Advantest
BGQ-020732
Advantest
BGR-024404
Advantest
BIR-022863
Advantest
BGR-019267
Advantest
BGR-015820
Advantest
BGR-015470
Advantest
BGL-020768
Advantest
BGR-023702
Advantest
BGR-021941
Advantest
BGM-021558
Advantest
BGR-018824
Advantest
WBL-H35146
Advantest
BIR-026893
Advantest
BMR-020812
Advantest
BGR-019267
Advantest
BLR-017290
Advantest
BGL-018831
Advantest
BGM-021557
Advantest
BIR-026892
Advantest
BGR-023787
Advantest
BIS-026719
Advantest
BGR-023184
Advantest
BGR-023702
Advantest
BGH-018825
Advantest
BMR-020812
Advantest
BLQ-021359
Advantest
BGM-021558
Advantest
BGR-010442X01
Advantest
BGR-017578
Advantest
BGR-10824X01
Advantest
BGR-023168
Advantest
BGR-016793
Advantest
BLQ-021359
Advantest
BGR-019267
Advantest
BGM-022929
Advantest
BIR-023219
Advantest
BGR-016793
Advantest
BGK-025626
Advantest
BLR-017290
Advantest
BGH-018830
Advantest
BGR-012926X01
Advantest
BGR-020853
Advantest
BGR-022841
Advantest
BGR-020851
Advantest
BGR-018255
Advantest
BGR-016461
Advantest
WBL-0175758MB
Advantest
BGR-018125
Advantest
WBL-023086
Advantest
BGK-022429
Advantest
BLQ-021359
Advantest
BGM-021556
Advantest
BGR-022942
Advantest
BMR-023186
Advantest
BMR-02048X03
Advantest
BGR-021617
Advantest
BGR-023950X02
Advantest
BGR-021619
Advantest
BGR-023168
Advantest
BGM-021557
Advantest
BGR-014567
Advantest
BGR-024920
Advantest
BGR 017579
Advantest
BGL-021040
Advantest
BGM-021557
Advantest
BGR-018840
Advantest
BGR-017579
Advantest
BGR-017417
Advantest
BGJ-023817
Advantest
BIR-023187
Advantest
BGR-019267
Advantest
BLQ-021359
Advantest
BGR-022632X02
Advantest
BGR-021619
Advantest
BGR-024736X02
Advantest
BIR-021939X04
Advantest
BGR-023121X02
Advantest
BGR-020771X02
Advantest
BIR-011803X02
Advantest
BGL-021040
Advantest
BGL-020768
Advantest
BGR-014567
Advantest
BGR-018841
Advantest
BGR-023301
Advantest
BGL-020768
Advantest
BGR-018931
Advantest
BIR-021588X02
Advantest
BGM-021633X03
Advantest
BGR-018198
Advantest
BGR-016261
Advantest
BIR-011803X02
Advantest
BMR-0266227X02
Advantest
BGR-022681
Advantest
BGR-023664
Advantest
BIR-014567
Advantest
BGR-017579
Advantest
BGR-012178
Advantest
BGR-024934X02
Advantest
BLN-023726X03
Advantest
BGR-023787
Advantest
BGR-0101663
Advantest
BLN-02376X03
Advantest
WBL-0175758MB
Advantest
BGR-018931
Advantest
BGR-015554X07
Advantest
BMR-023186
Advantest
BGR-023787
Advantest
WBL/TYPE660
Advantest
BGR-023423
Advantest
BGR-019609
Advantest
BGR-018822
Advantest
WBL-023084
Advantest
BGR-021770
Advantest
BGR-022681
Advantest
BGR-018125
Advantest
BGR-017347
Advantest
BLR-017290
Advantest
BLQ-021359
Advantest
BGR--020509
Advantest
BGR-024920
Advantest
BGR-020509
Advantest
BGR-018203
Advantest
BGL-017030
Advantest
BGK-023083
Advantest
BGR-026701X02
Advantest
BGR-017578
Advantest
BGR-021619
Advantest
BGR-015470X04
Advantest
BGR-022841
Advantest
BGR-024503
Advantest
BGR-016570
Advantest
BGR-023183
Advantest
BGH-018827
Advantest
BGH-018826
Advantest
BGJ-0238178
Advantest
BGR-020509
Advantest
BGQ-020732
Advantest
BGR-016793
Advantest
BGR-010827
Advantest
BGR-018838
Advantest
BGR-024955X02
Advantest
BGR-010484
Advantest
BGR-011350
Advantest
BGR-018371
Advantest
BGR-010441
Advantest
BGR-019384
Advantest
BGM-021558
Advantest
BGR-019383
Advantest
BGR-015372X02
Advantest
BGR-010484
Advantest
BGR-010442X01
Advantest
BGR-023167
Advantest
BGR-018203X02
Advantest
BGR-024885X06
Advantest
BGM-021557
Advantest
BGR-010824X02
Advantest
BGR-018822
Advantest
BGR-022841
Advantest
BGR-010427
Advantest
BGR-021940
Advantest
BGQ-018375
Advantest
BGR0-18198
Advantest
BGR-023710
Advantest
BLL-019012
Advantest
BGL-017030
Advantest
BGR-010437
Advantest
BIR-026892
Advantest
BGL-017030
Advantest
BGR-018197
Advantest
BIR-021939X02
Advantest
BGQ-018374
Advantest
BLP-020838
Advantest
BGR-018931
Advantest
BGR-016261
Advantest
BGR-012178
Advantest
BGL-018831
Advantest
BGR-012178
Advantest
BGR-018197
Advantest
BGR-024622
Advantest
BGR-016102X02
Advantest
BLR-017347
Advantest
BGR-023662
Advantest
BGR-023218
Advantest
BGR-012178
Advantest
BGR-021941
Advantest
BGR-019382
Advantest
BGR-017615
Advantest
BGM-021558
Advantest
BGC-023406
Advantest
WUN-25V3V5V3 BWL
Advantest
WUN-25V3V25V3V25V
Advantest
BMS-023238/BIC
Advantest
BMS-023238/DBC
Advantest
BMS-023239
Advantest
BGR-023672
Advantest
WUN-25V5V25V5V25VWL
Advantest
BGR-026312
Advantest
WUN-25V3V25V3V25VWR
Advantest
BMS-026716/BDC
Advantest
BMS-026715X02/CFD
Advantest
BGM-021633X03/CBA
Advantest
BIR-021939X02
Advantest
BIR-021939/AND
Advantest
BIR-021939/AMC
Advantest
WUN-11V9VDM11V9V
Advantest
WUN-5V3V2R5V5V2V
Advantest
BGM-02163302/CHA
Advantest
BGL-020107/BEC
Advantest
WUN-5V2R5V5V2R5V3V
Advantest
BGM-021633X02/CCA
Advantest
BGL-020107
Advantest
BGM-023206X02/BDA
Advantest
WUN-25V5V25V25WR
Advantest
WUN-5V15V2B5V2V
Advantest
BGR-021615/AVC
Advantest
BIR-021939X03/ADB
Advantest
BGM-023206/BFA
Advantest
BGM-021633X02/CHA
Advantest
WUN-11V3B15V5V
Advantest
BGR-023672X02/BAA
Advantest
WUN-11V9V3V11V9V
Advantest
BIR-021939X02/ADC
Advantest
BIR-021939X02/ADC
Advantest
BIR-021939X03/ADB
Advantest
BGR-023123
Advantest
BIR-021939X02/ADC
Advantest
BGR-021614/BCB
Advantest
BIR-026893/ACA
Advantest
BGM-021633X02
Advantest
BIR-021939X03/ADB
Advantest
BGR-021614/BCB
Advantest
BIR-021939X02/ADC
Advantest
BGR-025699
Advantest
BIR-021939X04/AEB
Advantest
BIR-021939X04/AEB
Advantest
WUN-5V3VDM3V2V
Advantest
WUN-11V9V5V11V9V
Advantest
BGR-017613
Advantest
BGR-010445
Advantest
BGR-012894
Advantest
BGR-018125
Advantest
BGQ-020732
Advantest
BGR-010659
Advantest
BMR-020489
Advantest
BGR-018839
Advantest
BGR-010827X04
Advantest
BGR-020774
Advantest
BGR-010439
Advantest
BGR-010826
Advantest
BGR-016570
Advantest
BGR-015947
Advantest
BGR-018822
Advantest
BGR-014567
Advantest
BGR--010439
Advantest
BGR-022411
Advantest
BGR-017579
Advantest
BGR-022720
Advantest
BGR-014059X02
Advantest
BGR-020851
Advantest
BGL-021040
Advantest
BGL-018831
Advantest
BGC-021397
Advantest
BGC-021397
Advantest
BGR-018529
Advantest
BGR-016102
Advantest
BIR-023660
Advantest
BGL-018831
Advantest
BGR-023124
Advantest
BGR-012894
Advantest
BGR-018312
Advantest
BIR-023660
Advantest
BGM-021556
Advantest
BGM-021558
Advantest
BGR-015470X03
Advantest
BGR-020492
Advantest
BGL-020768
Advantest
BGR-013306
Advantest
BGR-012894
Advantest
BGR-018841
Advantest
BGR-018842
Advantest
BGR-019267
Advantest
BGR-015820X02
Advantest
BGQ-020840
Advantest
BGR-010825
Advantest
BIR-013310X02
Advantest
BGR-021619
Advantest
BGR-015923
Advantest
BGR-019378
Advantest
BIR-021939X04
Advantest
BGL-020768
Advantest
BGL-021040
Advantest
BGR-019610
Advantest
BGR-017175
Advantest
BIR-023660
Advantest
BGR-015821
Advantest
BGR-020771X02
Advantest
BGR-020493X01
Advantest
BGR-020765
Advantest
BGR-018836
Advantest
BGR-020490
Advantest
BGR-018197
Advantest
BIR-023219
Advantest
BGR-018839
Advantest
BGB-023659
Advantest
BGB-023659
Advantest
AAA-4216*72H60-1
Advantest
AAA-4216*72H60-1
Advantest
AAA-4216*72H60-1
Advantest
AAA-4216*72H60-1
Advantest
WBL-H36859BRD
Advantest
AAA-4216*72H60-1
Advantest
BGC-024407
Advantest
BLH-024180
Advantest
WBL-H3243764MW
Advantest
BMR-026338X02
Advantest
BGR-018372
Advantest
ACBYQ-10475
Advantest
BGR-010442X05
Advantest
BGM-021633X02
Advantest
BGQ-020840
Advantest
BLL-019012
Advantest
BGR-016617X03
Advantest
BGR-012894
Advantest
BGR-023408
Advantest
BGR-016793
Advantest
BGR-020492
Advantest
BGR-018312
Advantest
BGM-021556
Advantest
BGR-020771
Advantest
BGR-023193
Advantest
BGR-016262
Advantest
BGR-016261
Advantest
BGR-016877
Advantest
BGR-020490
Advantest
BGR-014567
Advantest
BGR-020768
Advantest
BGM-021558
Advantest
BGR-012926X02
Advantest
BIR-015398X02
Advantest
BGL-018831
Advantest
BGR-013306
Advantest
BGR-021835/ACB
Advantest
BGR-012178
Advantest
BGR-020492X02
Advantest
BGK-022544
Advantest
BGR-011272
Advantest
BGR-018100
Advantest
BGR-018822
Advantest
BGM-021633X03
Advantest
BIR-023660
Advantest
BGR-018198
Advantest
BGR-021619
Advantest
BGR-022720
Advantest
BGR-018531
Advantest
BIR-023660X02
Advantest
BGR-020771X02
Advantest
BGM-021633X03
Advantest
BGL-015805X02
Advantest
BGR-018839
Advantest
BGQ-020732
Advantest
BGR-018822
Advantest
BIR-011811
Advantest
BGR-010944X02
Advantest
BGR-016102
Advantest
BGR-022411
Advantest
BGR-018822
Advantest
BGL-018450
Advantest
BGR-018821
Advantest
BIR-014321
Advantest
BIR-014321
Advantest
BGR-018100
Advantest
BGR-020509
Advantest
BLR-017347
Advantest
BGR-023183
Advantest
BIR-023660X02
Advantest
BGR-021835
Advantest
BGD-023949
Advantest
BGR-020509
Advantest
BGR-021770
Advantest
BLR-017347
Advantest
BGR-023184
Advantest
BGR-023664
Advantest
BGR-017615
Advantest
BGR-023950
Advantest
BGR-024925
Advantest
BGH-018828
Advantest
BGL-017030
Advantest
BMR-023186
Advantest
BGM-021558
Advantest
BGR-022720
Advantest
BGR-016461
Advantest
BGQ-020732
Advantest
BGR-019390
Advantest
BGR-02312X02
Advantest
BGR-017716
Advantest
BGR-023190
Advantest
BMR-023188
Advantest
BGR-019390
Advantest
BGR-018931
Advantest
BGR-019380
Advantest
BGR-023703
Advantest
BGR-018840
Advantest
BGM-021557
Advantest
BIR-023793
Advantest
BGR-023422
Advantest
BIR-011803X02
Advantest
BLL-014139X02
Advantest
BIR-011803X02
Advantest
BGR-011272
Advantest
BGR-015612
Advantest
BGR-013310X02
Advantest
BIR-022414
Advantest
BGR-027127
Advantest
BGR-024751X02
Advantest
BGR-18823X02
Advantest
BGR-0217617
Advantest
BGR-01167X02
Advantest
BGR-019268
Advantest
BGR-018257
Advantest
BGR-011277
Advantest
BIR-023187
Advantest
BGR-018201
Advantest
BGR-018837
Advantest
BMR-023186
Advantest
BGR-018824
Advantest
BGR-018840X02
Advantest
BGM-021633X03
Advantest
WBL-M1F/TYPE654
Advantest
BGM-021557
Advantest
BIR-012813
Advantest
BGR-018186
Advantest
BGR-015821
Advantest
BGR-020635
Advantest
BIR-026737
Advantest
BGR-020509
Advantest
BGQ-018376
Advantest
BMR-023186
Advantest
BGR-018834
Advantest
BGR-010828
Advantest
BGR-014676X08
Advantest
BGR-011351
Advantest
BGL-018450
Advantest
BGR-012893
Advantest
BGR-Z3550X04
Advantest
BGR-023183
Advantest
BGR-018931
Advantest
BGR-016840
Advantest
BGR-023217
Advantest
BGR-023168
Advantest
BGR-023787
Advantest
BGR-025100
Advantest
BGR-014567
Advantest
BGR-015372
Advantest
BGR-018125
Advantest
H3-6153
Advantest
BGR-018835
Advantest
BGR-017001
Advantest
BGR-019380
Advantest
BGR-014676X08
Advantest
BGR-023185
Advantest
BGR-021619X02
Advantest
BGR-020635
Advantest
BGR-018314
Advantest
BGR-011617X02
Advantest
WBL-023084
Advantest
BGM-021558
Advantest
BGR-026240X02
Advantest
BGR-0188823X02
Advantest
BGR-019379
Advantest
WBL-023086
Advantest
BGR-014567
Advantest
BGR-010429
Advantest
BGR-015484
Advantest
BGR-013744X02
Advantest
BGR-010414
Advantest
BGH-018829
Advantest
BGR-015683
Advantest
BGR-010430X01
Advantest
BGR-010446
Advantest
BGR-015940
Advantest
BGQ-020732
Advantest
BGR-015947
Advantest
BGK-018921
Advantest
BIR-014633
Advantest
BGR-010911
Advantest
BGG-017151
Advantest
BGG-018802
Advantest
BGH-018829
Advantest
BGC-021949
Advantest
BGC-021949
Advantest
AAA-4216*72H60-1</t>
  </si>
  <si>
    <t xml:space="preserve">99379</t>
  </si>
  <si>
    <t xml:space="preserve">ADVANTEST </t>
  </si>
  <si>
    <t xml:space="preserve">T5375 </t>
  </si>
  <si>
    <t xml:space="preserve">TRUNCATED: -see attached photos for details
-Configuration:-
DIAG G:-
Configuration T5375
=
/DIAG/G
SYSTEM CONFIGURATION GENERATE
CONFIGURATION OF TEST HEAD
  PIN CONFIGURATION   1. 512DR+ 320I/O(QUARTER)
                      2.1024DR+ 640I/O(HALF)
                      3.1536DR+ 640I/O(FULL)
                      4.2048DR+ 640I/O(FULL)
                      5.1536DR+1280I/O(FULL)
                      6.2048DR+1280I/O(FULL)   [1-6] ...&gt; 1
  NUMBER OF TEST HEAD  [1,2] ...........................&gt; 1
CONFIGURATION OF TEST HEAD 1
  PE BOARD         0.NOT EXIST
                   1.    EXIST
                         DR PIN    1A1  1A5 17A1 25A1
                   CHILD A,B ....&gt;  1    1    1    1    
                   CHILD C,D ....&gt;  0    0    0    0    
                   CHILD E,F ....&gt;  0    0    0    0    
                   CHILD G,H ....&gt;  0    0    0    0    
                         IO PIN   33A1 97A1 33A5 97A5
                   CHILD A,B ....&gt;  1    1    1    1    
                   CHILD C,D ....&gt;  0    0    0    0    
                   CHILD E,F ....&gt;  0    0    0    0    
                   CHILD G,H ....&gt;  0    0    0    0    
CONFIGURATION OF DPU
  TEST HEAD 1     DC    CONFIGURATION [1-64] ...........&gt; 1-8,17-24
                  PPS   CONFIGURATION [1-256] ..........&gt; 
1-32,65-107,119-160,225-235
  AC FREQUENCY (Hz)     [50,60] ........................&gt; 50
CONFIGURATION OF FTU
  FLASH OPTION         [Y,N] ...........................&gt; YES
CONFIGURATION OF FM
  NUMBER OF FMRA BOARD [0-16] ..........................&gt;  2
  SIZE OF FMRA BOARD   [0:0G,1:1.44G,2:2.88G] ..........&gt; 1
  TYPE OF CFM          [1:TYPE-1,2:TYPE-2] .............&gt; 1
  PM(PATTERN MEMORY) BOARD EXIST [Y,N] .................&gt; YES
  SIZE OF PM BOARD     [1:1G,2:2G,3:4G,4:9G] ...........&gt; 1
CONFIGURATION OF MRA
  MRA4 EXIST [Y,N] .....................................&gt; NO
END SAVE
=
=
/LOG OFF
Data log print out:
=
/PPRO T5375
*******************************************************************************
**        T5375 SYSTEM DIAGNOSTICS    REV:6.06A(SYS TEST) 1.04B(DIAG)       
 **
**        SYSTEM ID.                                                    **
**        TH          512DR+ 320IO                                          
 **
**        START AT   2020/04/29 16:14:57                                    
 **
**                                                                          
 **
**                   TEST MODE : PASS PRINT                                 
 **
**                   SPEC      : 100.0%                                     
 **
*******************************************************************************
TEST 5001 TH   ( 10) CONTROL WORD CHECK                               
***PASS 
TEST 5002 TH   ( 10) MCW CHECK                                        
***PASS 
TEST 5003 TH   ( 10) PERFORMANCE BOARD READ CHECK                     
***PASS 
TEST 5004 TH   ( 11) PPS CONNECTION PRECHECK                          
***PASS 
TEST 5005 TH   ( 11) VS / VS MASK CHECK                               
***PASS 
TEST 5006 TH   ( 11) PCON / PCON MASK CHECK                           
***PASS 
TEST 5007 TH   ( 11) LCON CHECK                                       
***PASS 
TEST 5008 TH   ( 12) HGND CONNECTION CHECK                            
***PASS 
TEST 5009 TH   ( 12) SIGNAL PIN CONNECTION CHECK                      
***PASS 
TEST 5010 TH   ( 12) LOAD PIN CONNECTION CHECK                        
***PASS 
TEST 5011 TH   ( 13) OUTPUT RELAY CHECK                               
***PASS 
TEST 5012 TH   ( 13) HV OUT RELAY &amp; OUTPUT CHECK                      
***PASS 
TEST 5013 TH   ( 13) HV CONT RELAY CHECK                              
***PASS 
TEST 5014 TH   ( 13) DC FORCE/SENSE LINE CHECK                        
***PASS 
TEST 5015 TH   ( 16) DC LEAK CHECK                                    
***PASS 
TEST 0101 DPU  (  1) CBOX I/F 2'ND GPIB SELF    CHECK                 
***PASS 
TEST 0102 DPU  (  2) CBOX I/F 2'ND GPIB REMOTE  CHECK                 
***PASS 
TEST 0103 DPU  (  3) CBOX I/F 2'ND GPIB CLEAR   CHECK                 
***PASS 
TEST 0111 DPU  (  5) IF  LOGIC    W/R       CHECK                     
***PASS 
TEST 0141 DPU  ( 49) DC  LOGIC    W/R       CHECK                     
***PASS 
TEST 0151 DPU  ( 65) PPS LOGIC    W/R       CHECK                     
***PASS 
TEST 0231 DPU  (177) IFA R-LOAD             CHECK                     
***PASS 
TEST 0232 DPU  (179) IFA ADC          CAL &amp; CHECK                     
***PASS 
TEST 0233 DPU  (180) IFA COMPARATOR   CAL &amp; CHECK                     
***PASS 
TEST 0244 DPU  (181) DC VS    CALIBRATION &amp; CHECK                     
***PASS 
TEST 0245 DPU  (182) DC I-CLP CALIBRATION &amp; CHECK                     
***PASS 
TEST 0246 DPU  (183) DC IM    CALIBRATION &amp; CHECK                     
***PASS 
TEST 0247 DPU  (184) DC IS    CALIBRATION &amp; CHECK                     
***PASS 
TEST 0248 DPU  (185) DC VM    CALIBRATION &amp; CHECK                     
***PASS 
TEST 0249 DPU  (186) DC V-CLP CALIBRATION &amp; CHECK                     
***PASS 
TEST 0251 DPU  (187) PS R-LOAD              CHECK                     
***PASS 
TEST 0258 DPU  (187) PS ADC   CALIBRATION &amp; CHECK                     
***PASS 
TEST 0252 DPU  (188) PS VS    CALIBRATION &amp; CHECK                     
***PASS 
TEST 0253 DPU  (189) PS +IM   CALIBRATION &amp; CHECK                     
***PASS 
TEST 0254 DPU  (190) PS -IM   CALIBRATION &amp; CHECK                     
***PASS 
TEST 0255 DPU  (191) PS CLAMP CALIBRATION &amp; CHECK                     
***PASS 
TEST 0259 DPU  (192) PS VM    CALIBRATION &amp; CHECK                     
***PASS 
TEST 0411 DPU  (209) DC VSIM  VS      ACCURACY          CHECK         
***PASS 
TEST 0412 DPU  (210) DC VSIM  I-CLAMP ACCURACY          CHECK         
***PASS 
TEST 0413 DPU  (211) DC VSIM  IM      ACCURACY          CHECK         
***PASS 
TEST 0414 DPU  (212) DC ISVM  IS      ACCURACY          CHECK         
***PASS 
TEST 0415 DPU  (213) DC ISVM  V-CLAMP ACCURACY          CHECK         
***PASS 
TEST 0416 DPU  (214) DC ISVM  VM      ACCURACY          CHECK         
***PASS 
TEST 0419 DPU  (217) DC D/A       LINEARITY             CHECK         
***PASS 
TEST 0422 DPU  (218) DC VSIM  IM SETTLING (NO-LOAD)     CHECK         
***PASS 
TEST 0423 DPU  (221) DC CLAMP/GUARD ALARM               CHECK         
***PASS 
TEST 0511 DPU  (225) PS VSIM  VS      ACCURACY          CHECK         
***PASS 
TEST 0512 DPU  (226) PS VSIM  +IM     ACCURACY          CHECK         
***PASS 
TEST 0513 DPU  (226) PS VSIM  -IM     ACCURACY          CHECK         
***PASS 
TEST 0514 DPU  (228) PS VSIM  CLAMP   ACCURACY          CHECK         
***PASS 
TEST 0516 DPU  (230) PS VSVM  VM      ACCURACY          CHECK         
***PASS 
TEST 0517 DPU  (231) PS STANDBY                         CHECK         
***PASS 
TEST 0518 DPU  (232) PS GUARD ALARM                     CHECK         
***PASS 
TEST 0519 DPU  (233) PS CLAMP ALARM                     CHECK         
***PASS 
TEST 0520 DPU  (234) PS KELVIN ALARM                    CHECK         
***PASS 
TEST 0523 DPU  (235) PS VSIM  IM SETTLING (LOAD)        CHECK         
***PASS 
TEST 0524 DPU  (236) PS VSIM  IM FILTER                 CHECK         
***PASS 
TEST 2010 ALPG (  1) OBM R/W CHECK                                    
***PASS
TEST 2011 ALPG (  1) REGISTER R/W CHECK                               
***PASS
TEST 2012 ALPG (  1) OBM,OBM-AP,WCS,XSCRAM R/W CHECK                  
***PASS
TEST 2013 ALPG (  1) IDXR1-8/IDXW1-8 REG. R/W CHECK                   
***PASS
TEST 2014 ALPG (  1) IDX LR1-16 REG. R/W CHECK                        
***PASS
TEST 2015 ALPG (  1) TIMER DATA &amp; MODE REG. R/W CHECK 1 (TMSEL1-3)    
***PASS
TEST 2016 ALPG (  1) TIMER DATA &amp; MODE REG. R/W CHECK 2 (TMSEL0)      
***PASS
TEST 2017 ALPG (  1) BURST WORD COUNTER CHECK                         
***PASS
TEST 2018 ALPG (  1) TBRST (TESTER BUS RESET) CHECK                   
***PASS
TEST 2019 ALPG (  1) PG RESET (CONTROL REG.) CHECK                    
***PASS
TEST 2020 ALPG (  2) WCS0-1 R/W CHECK 1 (MARCHING)                    
***PASS
TEST 2021 ALPG (  2) WCS2-8 R/W CHECK 1 (MARCHING)                    
***PASS
TEST 2022 ALPG (  2) X PRE-SCRAM R/W CHECK 1 (MARCHING)               
***PASS
TEST 2023 ALPG (  2) Y PRE-SCRAM R/W CHECK 1 (MARCHING)               
***PASS
TEST 2024 ALPG (  2) XSCRAM R/W CHECK 1 (MARCHING)                    
***PASS
TEST 2025 ALPG (  2) YSCRAM R/W CHECK 1 (MARCHING)                    
***PASS
TEST 2026 ALPG (  2) ARIRAM R/W CHECK 1 (MARCHING)                    
***PASS
TEST 2027 ALPG (  2) ALPG MEMORY SELECT CHECK                         
***PASS
TEST 2028 ALPG (  2) ALPG MEMORY BURST WRITE CHECK 1                  
***PASS
TEST 2029 ALPG (  2) ALPG MEMORY BURST WRITE CHECK 2                  
***PASS
TEST 2030 ALPG (  3) WCS0-1 R/W CHECK 2 (DATA BIT)                    
***PASS
TEST 2031 ALPG (  3) WCS2-8 R/W CHECK 2 (DATA BIT)                    
***PASS
TEST 2032 ALPG (  3) X PRE-SCRAM R/W CHECK 2 (DATA BIT)               
***PASS
TEST 2033 ALPG (  3) Y PRE-SCRAM R/W CHECK 2 (DATA BIT)               
***PASS
TEST 2034 ALPG (  3) XSCRAM R/W CHECK 2 (DATA BIT)                    
***PASS
TEST 2035 ALPG (  3) YSCRAM R/W CHECK 2 (DATA BIT)                    
***PASS
TEST 2036 ALPG (  3) ARIRAM R/W CHECK 2 (DATA BIT)                    
***PASS
TEST 2037 ALPG (  3) INSTRUCTION ERROR CHECK                          
***PASS
TEST 2040 ALPG (  4) UNIVERSAL COUNTER CLEAR CHECK                    
***PASS
TEST 2041 ALPG (  4) UNIVERSAL COUNTER REAL-TIME CHECK                
***PASS
TEST 2042 ALPG (  4) STA(START PC) REG. BIT CHECK                     
***PASS
TEST 2043 ALPG (  4) PG STOP CHECK                                    
***PASS
TEST 2044 ALPG (  4) PG RESET CHECK                                   
***PASS
TEST 2050 ALPG (  5) NOP INSTRUCTION CHECK                            
***PASS
TEST 2051 ALPG (  5) JMP INSTRUCTION CHECK                            
***PASS
TEST 2052 ALPG (  5) STPS INSTRUCTION CHECK                           
***PASS
TEST 2053 ALPG (  5) STFL INSTRUCTION CHECK                           
***PASS
TEST 2054 ALPG (  5) PC &amp; TEST LINE CHECK                             
***PASS
TEST 2055 ALPG (  5) PC SELECT CHECK 1 (NOP/JMP)                      
***PASS
TEST 2056 ALPG (  5) PC SELECT CHECK 2 (NOP/RTN)                      
***PASS
TEST 2057 ALPG (  5) PC SELECT CHECK 3 (JMP/RTN)                      
***PASS
TEST 2060 ALPG (  6) JSR/RTN INSTRUCTION CHECK                        
***PASS
TEST 2061 ALPG (  6) SUBROUTINE STACK BIT CHECK                       
***PASS
TEST 2062 ALPG (  6) STACK ERROR CHECK 1 (STACK OVER/UNDER)           
***PASS
TEST 2063 ALPG (  6) STI1-8 INSTRUCTION CHECK                         
***PASS
TEST 2064 ALPG (  6) INC1-8 INSTRUCTION CHECK                         
***PASS
TEST 2065 ALPG (  6) IDXI1-8 INSTRUCTION CHECK                        
***PASS
TEST 2066 ALPG (  6) JSI1-8/RTN INSTRUCTION CHECK                     
***PASS
TEST 2070 ALPG (  7) JNI1-8 INSTRUCTION CHECK 1 (JNIn .-1)            
***PASS
TEST 2071 ALPG (  7) JNI1-8 INSTRUCTION CHECK 2 (JNIn .)              
***PASS
TEST 2072 ALPG (  7) JNI1-8 INSTRUCTION CHECK 3 (ZERO FLAG)           
***PASS
TEST 2073 ALPG (  7) JNI1-8I INSTRUCTION CHECK 1 (LOOP)               
***PASS
TEST 2074 ALPG (  7) JNI1-8I INSTRUCTION CHECK 2 (IDXR INC)           
***PASS
TEST 2075 ALPG (  7) JNI1-8D INSTRUCTION CHECK 1 (LOOP)               
***PASS
TEST 2076 ALPG (  7) JNI1-8D INSTRUCTION CHECK 2 (IDXR DEC)           
***PASS
TEST 2077 ALPG (  7) JNC1-16 INSTRUCTION CHECK                        
***PASS
TEST 2078 ALPG (  7) LDI1-8 INSTRUCTION CHECK                         
***PASS
TEST 2080 ALPG (  8) STTM INSTRUCTION CHECK                           
***PASS
TEST 2081 ALPG (  8) JZD INSTRUCTION CHECK                            
***PASS
TEST 2082 ALPG (  8) JET INSTRUCTION CHECK                            
***PASS
TEST 2083 ALPG (  8) SET INSTRUCTION CHECK                            
***PASS
TEST 2084 ALPG (  8) WAIT INSTRUCTION CHECK                           
***PASS
TEST 2085 ALPG (  8) OUT INSTRUCTION CHECK                            
***PASS
TEST 2086 ALPG (  8) T/TM1/TM2 INSTRUCTION CHECK                      
***PASS
TEST 2087 ALPG (  8) IDX1-8 DATA LOAD TIMING CHECK                    
***PASS
TEST 2088 ALPG (  8) IDXR1-8 DATA READ TIMING CHECK                   
***PASS
TEST 2090 ALPG (  9) INSTRUCTION COMBINATION CHECK 1                  
***PASS
TEST 2091 ALPG (  9) INSTRUCTION COMBINATION CHECK 2                  
***PASS
TEST 2092 ALPG (  9) INSTRUCTION COMBINATION CHECK 3                  
***PASS
TEST 2093 ALPG (  9) TRACE MODE INSTRUCTION CHECK 1                   
***PASS
TEST 2094 ALPG (  9) TRACE MODE INSTRUCTION CHECK 2                   
***PASS
TEST 2100 ALPG ( 10) REGISTER REAL TIME SET CHECK 1                   
***PASS
TEST 2101 ALPG ( 10) REGISTER REAL TIME SET CHECK 2                   
***PASS
TEST 2102 ALPG ( 10) XT FUNCTION    CHECK                             
***PASS
TEST 2103 ALPG ( 10) YT FUNCTION    CHECK                             
***PASS
TEST 2104 ALPG ( 10) XB INSTRUCTION CHECK                             
***PASS
TEST 2105 ALPG ( 10) YB INSTRUCTION CHECK                             
***PASS
TEST 2106 ALPG ( 10) D3 INSTRUCTION CHECK                             
***PASS
TEST 2107 ALPG ( 10) D4 INSTRUCTION CHECK                             
***PASS
TEST 2108 ALPG ( 10) D3-D4 REGISTER LINK CHECK                        
***PASS
TEST 2109 ALPG ( 10) XB-YB INSTRUCTION CHECK                          
***PASS
TEST 2110 ALPG ( 11) X-ALU SOURCE A  FIELD CHECK                      
***PASS
TEST 2111 ALPG ( 11) Y-ALU SOURCE A  FIELD CHECK                      
***PASS
TEST 2112 ALPG ( 11) X-ALU SOURCE B  FIELD CHECK                      
***PASS
TEST 2113 ALPG ( 11) Y-ALU SOURCE B  FIELD CHECK                      
***PASS
TEST 2114 ALPG ( 11) X-ALU OPERATION FIELD CHECK                      
***PASS
TEST 2115 ALPG ( 11) Y-ALU OPERATION FIELD CHECK 1                    
***PASS
TEST 2116 ALPG ( 11) Y-ALU OPERATION FIELD CHECK 2                    
***PASS
TEST 2117 ALPG ( 11) Y-ALU OPERATION FIELD CHECK 3                    
***PASS
TEST 2118 ALPG ( 11) Y-ALU OPERATION FIELD CHECK 4                    
***PASS
TEST 2119 ALPG ( 11) Y-ALU OPERATION FIELD CHECK 5                    
***PASS
TEST 2120 ALPG ( 12) X-ALU DESTINATION FIELD CHECK                    
***PASS
TEST 2121 ALPG ( 12) Y-ALU DESTINATION FIELD CHECK                    
***PASS
TEST 2122 ALPG ( 12) X-OUT DATA MULTIPLEXER  CHECK (XC,XB,XS)         
***PASS
TEST 2123 ALPG ( 12) Y-OUT DATA MULTIPLEXER  CHECK (YC,YB,YS)         
***PASS
TEST 2124 ALPG ( 12) XB CARRY CHECK                                   
***PASS
TEST 2125 ALPG ( 12) XC CARRY CHECK                                   
***PASS
TEST 2126 ALPG ( 12) YB CARRY CHECK                                   
***PASS
TEST 2127 ALPG ( 12) YC CARRY CHECK                                   
***PASS
TEST 2128 ALPG ( 12) LMAX&lt;&gt;HMAX INSTRUCTION CHECK                     
***PASS
TEST 2130 ALPG ( 13) Z INSTRUCTION CHECK 1                            
***PASS
TEST 2131 ALPG ( 13) Z INSTRUCTION CHECK 2                            
***PASS
TEST 2132 ALPG ( 13) Z INSTRUCTION CHECK 3                            
***PASS
TEST 2133 ALPG ( 13) N INSTRUCTION CHECK                              
***PASS
TEST 2134 ALPG ( 13) X ADDRESS MULTIPLEXER CHECK                      
***PASS
TEST 2135 ALPG ( 13) Y ADDRESS MULTIPLEXER CHECK                      
***PASS
TEST 2136 ALPG ( 13) /X INSTRUCTION CHECK                             
***PASS
TEST 2137 ALPG ( 13) /Y INSTRUCTION CHECK                             
***PASS
TEST 2138 ALPG ( 13) /Z INSTRUCTION CHECK                             
***PASS
TEST 2139 ALPG ( 13) B INSTRUCTION CHECK                              
***PASS
TEST 2140 ALPG ( 14) XMAX MASK CHECK                                  
***PASS
TEST 2141 ALPG ( 14) YMAX MASK CHECK                                  
***PASS
TEST 2142 ALPG ( 14) X-Z MULTIPLEXER CHECK (X-Z ENABLE)               
***PASS
TEST 2143 ALPG ( 14) Y-Z MULTIPLEXER CHECK (Y-Z ENABLE)               
***PASS
TEST 2144 ALPG ( 14) X-Z MULTIPLEXER CHECK (Z_CONT)                   
***PASS
TEST 2145 ALPG ( 14) Y-Z MULTIPLEXER CHECK (Z_CONT)                   
***PASS
TEST 2146 ALPG ( 14) X-N MULTIPLEXER CHECK (X-N ENABLE)               
***PASS
TEST 2147 ALPG ( 14) Y-N MULTIPLEXER CHECK (Y-N ENABLE)               
***PASS
TEST 2148 ALPG ( 14) X-B MULTIPLEXER CHECK (X-N ENABLE)               
***PASS
TEST 2149 ALPG ( 14) Y-B MULTIPLEXER CHECK (Y-N ENABLE)               
***PASS
TEST 2150 ALPG ( 15) REFRESH COUNTER CHECK 1                          
***PASS
TEST 2151 ALPG ( 15) REFRESH COUNTER CHECK 2                          
***PASS
TEST 2152 ALPG ( 15) X OFFSET ADDRESS ADDER CHECK                     
***PASS
TEST 2153 ALPG ( 15) Y OFFSET ADDRESS ADDER CHECK                     
***PASS
TEST 2154 ALPG ( 15) XB INSTRUCTION CHECK (CARRY)                     
***PASS
TEST 2155 ALPG ( 15) YB INSTRUCTION CHECK (CARRY)                     
***PASS
TEST 2156 ALPG ( 15) XB INSTRUCTION CHECK (/X)                        
***PASS
TEST 2157 ALPG ( 15) YB INSTRUCTION CHECK (/Y)                        
***PASS
TEST 2158 ALPG ( 15) XB &amp; YB INSTRUCTION CHECK (LINK)                 
***PASS
TEST 2159 ALPG ( 15) PGBUS ACCESS CHECK ON PG RUNNING                 
***PASS
TEST 2160 ALPG ( 16) PRESCRAM FORMAT REGISTER R/W CHECK               
***PASS
TEST 2161 ALPG ( 16) PRESCRAM ADDRESS SELECTOR CHECK                  
***PASS
TEST 2162 ALPG ( 16) PRESCRAM SCRAMBLE DISABLE CHECK (PDS,FM_SIDE)    
***PASS
TEST 2163 ALPG ( 16) PRESCRAM SCRAMBLE ENABLE  CHECK (PDS,FM_SIDE)    
***PASS
TEST 2164 ALPG ( 16) PRESCRAM SCRAMBLE DISABLE CHECK (DGEN_SIDE)      
***PASS
TEST 2165 ALPG ( 16) PRESCRAM SCRAMBLE ENABLE  CHECK (DGEN_SIDE)      
***PASS
TEST 2166 ALPG ( 16) PRESCRAM DISABLE CHECK                           
***PASS
TEST 2170 ALPG ( 17) PRESCRAM Y PLUS Z FUNCTION CHECK                 
***PASS
TEST 2171 ALPG ( 17) PRESCRAM Y XOR Z  FUNCTION CHECK                 
***PASS
TEST 2172 ALPG ( 17) PRESCRAM CONT REG ON/OFF CHECK                   
***PASS
TEST 2173 ALPG ( 17) PRESCRAM REAL-TIME OFF CHECK                     
***PASS
TEST 2174 ALPG ( 17) PRESCRAM MODE SELECT CHECK                       
***PASS
TEST 2180 ALPG ( 18) SCRAM FORMAT REGISTER R/W CHECK                  
***PASS
TEST 2181 ALPG ( 18) SCRAM ADDRESS SELECTOR CHECK                     
***PASS
TEST 2182 ALPG ( 18) SCRAM SCRAMBLE DISABLE CHECK (PDS_SIDE)          
***PASS
TEST 2183 ALPG ( 18) SCRAM SCRAMBLE ENABLE  CHECK (PDS_SIDE)          
***PASS
TEST 2184 ALPG ( 18) SCRAM SCRAMBLE DISABLE CHECK (FM_SIDE)           
***PASS
TEST 2185 ALPG ( 18) SCRAM SCRAMBLE ENABLE  CHECK (FM_SIDE)           
***PASS
TEST 2186 ALPG ( 18) SCRAM REAL-TIME OFF CHECK                        
***PASS
TEST 2187 ALPG ( 18) PAGE DETECTOR CHECK                              
***PASS
TEST 2190 ALPG ( 19) X,Y-SYNC MODE FUNCTION CHECK                     
***PASS
TEST 2191 ALPG ( 19) SYNC MODE FUNCTION CHECK                         
***PASS
TEST 2192 ALPG ( 19) WINDOW MODE FUNCTION CHECK 1 (X)                 
***PASS
TEST 2193 ALPG ( 19) WINDOW MODE FUNCTION CHECK 2 (Y)                 
***PASS
TEST 2194 ALPG ( 19) WINDOW MODE FUNCTION CHECK 3 (X MASK)            
***PASS
TEST 2195 ALPG ( 19) WINDOW MODE FUNCTION CHECK 4 (Y MASK)            
***PASS
TEST 2196 ALPG ( 19) WINDOW MODE FUNCTION CHECK 5                     
***PASS
TEST 2197 ALPG ( 19) MA,MB SIGNAL OUTPUT CHECK                        
***PASS
TEST 2200 ALPG ( 20) ADDRESS SHIFT MODE FUNCTION CHECK 1 (LOAD)       
***PASS
TEST 2201 ALPG ( 20) ADDRESS SHIFT MODE FUNCTION CHECK 2 (SR1)        
***PASS
TEST 2202 ALPG ( 20) ADDRESS SHIFT MODE FUNCTION CHECK 3 (SL1)        
***PASS
TEST 2203 ALPG ( 20) ADDRESS SHIFT MODE FUNCTION CHECK 4 (ROTATE)     
***PASS
TEST 2204 ALPG ( 20) ADDRESS SHIFT MODE FUNCTION CHECK 5 (SR2)        
***PASS
TEST 2205 ALPG ( 20) ADDRESS SHIFT MODE FUNCTION CHECK 6 (SR4)        
***PASS
TEST 2206 ALPG ( 20) ADDRESS SHIFT MODE FUNCTION CHECK 7 (SR8)        
***PASS
TEST 2207 ALPG ( 20) ADDRESS SHIFT MODE FUNCTION CHECK 8 (SL2)        
***PASS
TEST 2208 ALPG ( 20) ADDRESS SHIFT MODE FUNCTION CHECK 9 (SL4)        
***PASS
TEST 2209 ALPG ( 20) ADDRESS SHIFT MODE FUNCTION CHECK 10(SL8)        
***PASS
TEST 2210 ALPG ( 21) ADDRESS SHIFT MODE FUNCTION CHECK 11             
***PASS
TEST 2211 ALPG ( 21) ADDRESS SHIFT MODE FUNCTION CHECK 12             
***PASS
TEST 2212 ALPG ( 21) ADDRESS SHIFT MODE FUNCTION CHECK 13             
***PASS
TEST 2213 ALPG ( 21) ADDRESS SHIFT MODE FUNCTION CHECK 14             
***PASS
TEST 2214 ALPG ( 21) ADDRESS SHIFT MODE FUNCTION CHECK 15             
***PASS
TEST 2215 ALPG ( 21) ADDRESS SHIFT MODE FUNCTION CHECK 16             
***PASS
TEST 2216 ALPG ( 21) ADDRESS SHIFT MODE FUNCTION CHECK 17             
***PASS
TEST 2220 ALPG ( 22) REGISTER REAL-TIME SET CHECK 3                   
***PASS
TEST 2221 ALPG ( 22) TP1 REGISTER FUNCTION CHECK                      
***PASS
TEST 2222 ALPG ( 22) TP2 REGISTER FUNCTION CHECK                      
***PASS
TEST 2223 ALPG ( 22) /D1 &amp; DCMR1  FUNCTION CHECK                      
***PASS
TEST 2224 ALPG ( 22) /D2 &amp; DCMR2  FUNCTION CHECK                      
***PASS
TEST 2225 ALPG ( 22) DATA HOLD INSTRUCTION CHECK (PD)                 
***PASS
TEST 2226 ALPG ( 22) PARITY MODE CHECK                                
***PASS
TEST 2227 ALPG ( 22) DSD,RCD,CCD REGISTER FUNCTION CHECK              
***PASS
TEST 2230 ALPG ( 23) FP0  FUNCTION CHECK (FIX-0)                      
***PASS
TEST 2231 ALPG ( 23) FP1  FUNCTION CHECK (CHECKER)                    
***PASS
TEST 2232 ALPG ( 23) FP3  FUNCTION CHECK (DIAGONAL)                   
***PASS
TEST 2233 ALPG ( 23) FP4  FUNCTION CHECK (INVERTED DIAGONAL)          
***PASS
TEST 2234 ALPG ( 23) FP7  FUNCTION CHECK (MASK PARITY)                
***PASS
TEST 2235 ALPG ( 23) FP8  FUNCTION CHECK (ROW BAR)                    
***PASS
TEST 2236 ALPG ( 23) FP9  FUNCTION CHECK (COLUMN BAR)                 
***PASS
TEST 2237 ALPG ( 23) FP10 FUNCTION CHECK (ROW/COLUMN BAR)             
***PASS
TEST 2238 ALPG ( 23) FP FUNCTION DATA CHECK                           
***PASS
TEST 2240 ALPG ( 24) FP5  FUNCTION CHECK (DIAGONAL-2)                 
***PASS
TEST 2241 ALPG ( 24) FP6  FUNCTION CHECK (INVERTED DIAGONAL-2)        
***PASS
TEST 2242 ALPG ( 24) FPX  FUNCTION CHECK                              
***PASS
TEST 2243 ALPG ( 24) PATA/PATB FUNCTION CHECK 1 (18BIT MODE)          
***PASS
TEST 2244 ALPG ( 24) PATA/PATB FUNCTION CHECK 1 (36BIT MODE)          
***PASS
TEST 2245 ALPG ( 24) PATA/PATB FUNCTION CHECK 3 (DSEL=#1)             
***PASS
TEST 2250 ALPG ( 25) ARIRAM ADDRESS FORMAT REGISTER R/W CHECK         
***PASS
TEST 2251 ALPG ( 25) ARIRAM ADDRESS SELECTOR CHECK                    
***PASS
TEST 2252 ALPG ( 25) ARIRAM DATA-INVERT CHECK                         
***PASS
TEST 2253 ALPG ( 25) ARIRAM SIGNAL HOLD CHECK                         
***PASS
TEST 2254 ALPG ( 25) ARIRAM INVERT REAL-TIME INHIBIT CHECK            
***PASS
TEST 2255 ALPG ( 25) FLAG SIGNAL OUTPUT CHECK                         
***PASS
TEST 2256 ALPG ( 25) DBM AP FUNCTION CHECK                            
***PASS
TEST 2257 ALPG ( 25) DBM PC FUNCTION CHECK                            
***PASS
TEST 2258 ALPG ( 25) DFLG TOGGLE FUNCTION CHECK                       
***PASS
TEST 2259 ALPG ( 25) DFLG DATA-INVERT CHECK                           
***PASS
TEST 2260 ALPG ( 26) DATA SHIFT FUNCTION CHECK 1 (X1)                 
***PASS
TEST 2261 ALPG ( 26) DATA SHIFT FUNCTION CHECK 2 (X2)                 
***PASS
TEST 2262 ALPG ( 26) DATA SHIFT FUNCTION CHECK 3 (X4)                 
***PASS
TEST 2263 ALPG ( 26) DATA SHIFT FUNCTION CHECK 4 (X8)                 
***PASS
TEST 2264 ALPG ( 26) CYCLE PALETTE CHECK                              
***PASS
TEST 2270 ALPG ( 27) PC-SYNC  FUNCTION CHECK                          
***PASS
TEST 2271 ALPG ( 27) TS-SYNC  FUNCTION CHECK                          
***PASS
TEST 2272 ALPG ( 27) MUT-SYNC FUNCTION CHECK                          
***PASS
TEST 2273 ALPG ( 27) PPS CONTROL SIGNAL SELECTOR CHECK                
***PASS
TEST 2274 ALPG ( 27) MUT CONTROL SIGNAL CHECK                         
***PASS
TEST 2275 ALPG ( 27) MC SIGNAL CHECK                                  
***PASS
TEST 2276 ALPG ( 27) FC,FTEST SIGNAL CHECK                            
***PASS
TEST 2277 ALPG ( 27) PREF SIGNAL CHECK                                
***PASS
TEST 2278 ALPG ( 27) CPE,DRE,RINV SIGNAL CHECK                        
***PASS
TEST 2279 ALPG ( 27) CPE,DRE,RINV SELECTOR CHECK                      
***PASS
TEST 2280 ALPG ( 28) WINDOW MODE CHECK                                
***PASS
TEST 2281 ALPG ( 28) TS READ CHECK                                    
***PASS
TEST 2282 ALPG ( 28) TS CONTROL CHECK 1 (PAGE MODE)                   
***PASS
TEST 2283 ALPG ( 28) TS CONTROL CHECK 2 (PAGE MODE)                   
***PASS
TEST 2284 ALPG ( 28) TS CONTROL CHECK 3 (PAGE MODE)                   
***PASS
TEST 2285 ALPG ( 28) PC READ CHECK                                    
***PASS
TEST 2286 ALPG ( 28) FAIL STOP FUNCTION CHECK                         
***PASS
TEST 2287 ALPG ( 28) AM1-2 READ CHECK 1 (PAGE MODE)                   
***PASS
TEST 2288 ALPG ( 28) AM1-2 READ CHECK 2 (RAS ONLY REFRESH MODE)       
***PASS
TEST 2290 ALPG ( 29) UNIVERSAL COUNTER CHECK 1 (PATTERN COUNT)        
***PASS
TEST 2291 ALPG ( 29) UNIVERSAL COUNTER CHECK 2 (SYNC COUNT)           
***PASS
TEST 2292 ALPG ( 29) UNIVERSAL COUNTER CHECK 3 (FAIL COUNT)           
***PASS
TEST 2293 ALPG ( 29) FAIL TRIGGER CHECK                               
***PASS
TEST 2300 ALPG ( 30) TIMER CHECK (STTM INSTRUCTION)                   
***PASS
TEST 2301 ALPG ( 30) STTM,STTM1 STTM2 DATA LOAD CHECK                 
***PASS
TEST 2302 ALPG ( 30) TIMER1(GENERAL TIMER) FULL BIT COUNT CHECK       
***PASS
TEST 2303 ALPG ( 30) TIMER2(PAUSE TIMER) FULL BIT COUNT CHECK         
***PASS
TEST 2304 ALPG ( 30) TIMER3(TRAS TIMER) FULL BIT COUNT CHECK          
***PASS
TEST 2305 ALPG ( 30) TIMER OPERATION CHECK-1 (TIMER DATA=#1)          
***PASS
TEST 2306 ALPG ( 30) TIMER OPERATION CHECK-2 (FIRST PAT TIMER START)  
***PASS
TEST 2307 ALPG ( 30) TIMER OPERATION CHECK-3 (STTM &amp; T COMBINATION)   
***PASS
TEST 2308 ALPG ( 30) TIMER OPERATION CHECK-4 (CONTINUE TIMER START)   
***PASS
TEST 2310 ALPG ( 31) TIMER ENABLE    MODE CHECK                       
***PASS
TEST 2311 ALPG ( 31) TIMER REFRESH_A MODE CHECK                       
***PASS
TEST 2312 ALPG ( 31) TIMER REFRESH_B MODE CHECK                       
***PASS
TEST 2313 ALPG ( 31) TIMER TRAS      MODE CHECK                       
***PASS
TEST 2314 ALPG ( 31) TIMER PAUSE     MODE CHECK                       
***PASS
TEST 2315 ALPG ( 31) TIMER PAUSE &amp; ENABLE MODE CHECK                  
***PASS
TEST 2320 ALPG ( 32) TIMER1 RANGE CHECK 1 (CURRENT)                   
***PASS
TEST 2321 ALPG ( 32) TIMER1 RANGE CHECK 2 (TIMER RANGE)               
***PASS
TEST 2322 ALPG ( 32) TIMER2 RANGE CHECK   (TIMER RANGE)               
***PASS
TEST 2323 ALPG ( 32) TIMER3 RANGE CHECK 1 (CURRENT)                   
***PASS
TEST 2324 ALPG ( 32) TIMER3 RANGE CHECK 2 (TIMER RANGE)               
***PASS
TEST 2325 ALPG ( 32) PAUSE &amp; INTERRUPT CHECK                          
***PASS
TEST 2330 ALPG ( 33) INTERRUPT CHECK 1  (ISP)                         
***PASS
TEST 2331 ALPG ( 33) INTERRUPT CHECK 2  (INTERRUPT RETURN)            
***PASS
TEST 2332 ALPG ( 33) INTERRUPT CHECK 3  (ISTK)                        
***PASS
TEST 2333 ALPG ( 33) INTERRUPT CHECK 4  (JSR INST.)                   
***PASS
TEST 2334 ALPG ( 33) INTERRUPT CHECK 5  (IDXI INST. OP=0)             
***PASS
TEST 2335 ALPG ( 33) INTERRUPT CHECK 6  (IDXI INST. OP&lt;&gt;0)            
***PASS
TEST 2336 ALPG ( 33) INTERRUPT CHECK 7  (JSI INST.)                   
***PASS
TEST 2337 ALPG ( 33) INTERRUPT CHECK 8  (JNI INST. OP=PC,IDX=0)       
***PASS
TEST 2338 ALPG ( 33) INTERRUPT CHECK 9  (JNI INST. OP=PC,IDX&lt;&gt;0)      
***PASS
TEST 2339 ALPG ( 33) INTERRUPT CHECK 10 (JNI INST. OP&lt;&gt;PC)            
***PASS
TEST 2340 ALPG ( 34) INTERRUPT CHECK 11 (RTN INST.)                   
***PASS
TEST 2341 ALPG ( 34) INTERRUPT CHECK 12 (STPS INST.)                  
***PASS
TEST 2342 ALPG ( 34) INTERRUPT CHECK 13 (STFL INST.)                  
***PASS
TEST 2343 ALPG ( 34) INTERRUPT CHECK 14 (I INST.)                     
***PASS
TEST 2344 ALPG ( 34) STACK ERROR CHECK 2                              
***PASS
TEST 2350 ALPG ( 35) FLGW1  INSTRUCTION MATCH DETECTOR CHECK          
***PASS
TEST 2351 ALPG ( 35) FLGS1  INSTRUCTION MATCH DETECTOR CHECK          
***PASS
TEST 2352 ALPG ( 35) FLGJ1  INSTRUCTION MATCH DETECTOR CHECK          
***PASS
TEST 2353 ALPG ( 35) FLGL1  INSTRUCTION MATCH DETECTOR CHECK          
***PASS
TEST 2354 ALPG ( 35) FLGLI1 INSTRUCTION MATCH DETECTOR CHECK -1       
***PASS
TEST 2355 ALPG ( 35) FLGLI1 INSTRUCTION MATCH DETECTOR CHECK -2       
***PASS
TEST 2356 ALPG ( 35) STBAR &amp; FLGLI1 BRANCH CHECK (BAR BIT CHECK)      
***PASS
TEST 2357 ALPG ( 35) FLGLIZ INSTRUCTION MATCH DETECTOR CHECK -1       
***PASS
TEST 2358 ALPG ( 35) FLGLIZ INSTRUCTION MATCH DETECTOR CHECK -2       
***PASS
TEST 2359 ALPG ( 35) STBAR &amp; FLGLIZ BRANCH CHECK (BAR BIT CHECK)      
***PASS
TEST 2360 ALPG ( 36) FLGW1  INSTRUCTION &amp; INTERRUPT CHECK             
***PASS
TEST 2361 ALPG ( 36) FLGS1  INSTRUCTION &amp; INTERRUPT CHECK             
***PASS
TEST 2362 ALPG ( 36) FLGJ1  INSTRUCTION &amp; INTERRUPT CHECK             
***PASS
TEST 2363 ALPG ( 36) FLGL1  INSTRUCTION &amp; INTERRUPT CHECK             
***PASS
TEST 2364 ALPG ( 36) FLGLI1  INSTRUCTION &amp; INTERRUPT CHECK 1          
***PASS
TEST 2365 ALPG ( 36) FLGLI1  INSTRUCTION &amp; INTERRUPT CHECK 2          
***PASS
TEST 2366 ALPG ( 36) FLGLIZ  INSTRUCTION &amp; INTERRUPT CHECK 1          
***PASS
TEST 2367 ALPG ( 36) FLGLIZ  INSTRUCTION &amp; INTERRUPT CHECK 2          
***PASS
TEST 2368 ALPG ( 36) FLGLI1  INSTRUCTION &amp; FAIL STOP CHECK            
***PASS
TEST 2370 ALPG ( 37) INTERRUPT DELAY CHECK                            
***PASS
TEST 2371 ALPG ( 37) JAF INSTRUCTION CHECK                            
***PASS
TEST 2372 ALPG ( 37) FLASH MODE MATCH CHECK(36BIT)                    
***PASS
TEST 2380 ALPG ( 38) REPEAT FUNCTION CHECK 1 (RESTART)                
***PASS
TEST 2381 ALPG ( 38) REPEAT FUNCTION CHECK 2 (PASS/FAIL STATUS)       
***PASS
TEST 2382 ALPG ( 38) REPEAT FUNCTION CHECK 3 (PASS/FAIL INHIBIT)      
***PASS
TEST 2383 ALPG ( 38) REPEAT FUNCTION CHECK 4 (STACK ERROR)            
***PASS
TEST 2384 ALPG ( 38) REPEAT FUNCTION CHECK 5 (STACK ERROR)            
***PASS
TEST 2385 ALPG ( 38) REPEAT FUNCTION CHECK 6 (STOP MPAT)              
***PASS
TEST 2386 ALPG ( 38) REPEAT FUNCTION CHECK 7 (FAIL STOP REPEAT)       
***PASS
TEST 2390 ALPG ( 39) TRACE STEP FUNCTION CHECK                        
***PASS
TEST 2391 ALPG ( 39) TRACE BREAK ON PC FUNCTION CHECK                 
***PASS
TEST 2392 ALPG ( 39) TRACE BREAK ON PAT FUNCTION CHECK                
***PASS
TEST 2393 ALPG ( 39) TRACE BREAK ON SYNC FUNCTION CHECK               
***PASS
TEST 2394 ALPG ( 39) TRACE MODE STPS/STFL CHECK                       
***PASS
TEST 2395 ALPG ( 39) TRACE MODE PASS/FAIL FLAG CHECK                  
***PASS
TEST 2396 ALPG ( 39) TRACE &amp; REPEAT MODE CHECK                        
***PASS
TEST 2397 ALPG ( 39) TRACE BREAK ON PC CONTINUOUS CHECK               
***PASS
TEST 2398 ALPG ( 39) TRACE BREAK ON PAT CONTINUOUS CHECK              
***PASS
TEST 2399 ALPG ( 39) TRACE BREAK ON SYNC CONTINUOUS CHECK             
***PASS
TEST 2400 ALPG ( 40) TRACE MODE TS DATA    OUTPUT READ CHECK          
***PASS
TEST 2401 ALPG ( 40) TRACE MOD</t>
  </si>
  <si>
    <t xml:space="preserve">98547</t>
  </si>
  <si>
    <r>
      <rPr>
        <sz val="8"/>
        <rFont val="Arial"/>
        <family val="0"/>
        <charset val="1"/>
      </rPr>
      <t xml:space="preserve">Advantest / </t>
    </r>
    <r>
      <rPr>
        <sz val="8"/>
        <rFont val="Noto Sans CJK SC"/>
        <family val="2"/>
        <charset val="1"/>
      </rPr>
      <t xml:space="preserve">アドバンテスト</t>
    </r>
  </si>
  <si>
    <t xml:space="preserve">Pick &amp; Place Memory Handler</t>
  </si>
  <si>
    <t xml:space="preserve">Configuration (Per each set):-
-Device cooling unit qty 1
-PL Label qty 1
-Test head positioner qty 1
Options:-
1. Air flow meter: qty 1
2. LN2 valve: qty 1
3. Signal Tower: qty 1
4. Keyboard (Handy + EMO) qty 1
5. HEX Socket RL Cover qty 1
6. Stocker qty 1
7. Cooling N2 Valve qty 1
Heat Sinking
1. Heat Sinking Unit qty 1
2. Heat Sinking Out CBL qty 1
Dry Air Test Head Unit - 1 set
1. Dry Air Test Head Unit qty 1
2. Dry Air Test Head Unit (Accessories) qty 1
SEE ATTACHED PHOTOS FOR DETAILS</t>
  </si>
  <si>
    <t xml:space="preserve">100994</t>
  </si>
  <si>
    <t xml:space="preserve">Advantest Nextest Verigy</t>
  </si>
  <si>
    <t xml:space="preserve">Mini-Batch of Automated Test Equipment</t>
  </si>
  <si>
    <t xml:space="preserve">12</t>
  </si>
  <si>
    <t xml:space="preserve">For sale: One mini-lot , consisting of 12 items of test equipment.
The equipment can be inspected by appointment.
The current conditions of the equipment is shown in the attached photos.
Details of lot with web links:-
WEB LINK 	SDI ID 	Manufacturer 	Model 	Description 	Sales conditions
https://www.fabsurplus.com/sdi_catalog/salesItemDetails.do?id=99379
&lt;https://www.fabsurplus.com/sdi_catalog/salesItemDetails.do?id=99379&gt; 	
99379 	ADVANTEST 	T5375 	Automated Test Equipment 	as is where is
https://www.fabsurplus.com/sdi_catalog/salesItemDetails.do?id=99380
&lt;https://www.fabsurplus.com/sdi_catalog/salesItemDetails.do?id=99380&gt; 	
99380 	ADVANTEST 	T5771ES 	Automated Test Equipment 	as is where is
https://www.fabsurplus.com/sdi_catalog/salesItemDetails.do?id=99381
&lt;https://www.fabsurplus.com/sdi_catalog/salesItemDetails.do?id=99381&gt; 	
99381 	NEXTEST 	MAGNUM I EV 	Automated Test Equipment 	as is where is
https://www.fabsurplus.com/sdi_catalog/salesItemDetails.do?id=99382
&lt;https://www.fabsurplus.com/sdi_catalog/salesItemDetails.do?id=99382&gt; 	
99382 	NEXTEST 	MAVERICK PT II 	Automated Test Equipment 	as is where is
https://www.fabsurplus.com/sdi_catalog/salesItemDetails.do?id=99383
&lt;https://www.fabsurplus.com/sdi_catalog/salesItemDetails.do?id=99383&gt; 	
99383 	NEXTEST 	MAVERICK PT II 	Automated Test Equipment 	as is where is
https://www.fabsurplus.com/sdi_catalog/salesItemDetails.do?id=99384
&lt;https://www.fabsurplus.com/sdi_catalog/salesItemDetails.do?id=99384&gt; 	
99384 	NEXTEST 	MAVERICK PT II 	Automated Test Equipment 	as is where is
https://www.fabsurplus.com/sdi_catalog/salesItemDetails.do?id=99385
&lt;https://www.fabsurplus.com/sdi_catalog/salesItemDetails.do?id=99385&gt; 	
99385 	NEXTEST 	MAVERICK PT II 	Automated Test Equipment 	as is where is
https://www.fabsurplus.com/sdi_catalog/salesItemDetails.do?id=99386
&lt;https://www.fabsurplus.com/sdi_catalog/salesItemDetails.do?id=99386&gt; 	
99386 	NEXTEST 	MAVERICK PT I 	Automated Test Equipment 	as is where is
https://www.fabsurplus.com/sdi_catalog/salesItemDetails.do?id=99388
&lt;https://www.fabsurplus.com/sdi_catalog/salesItemDetails.do?id=99388&gt; 	
99388 	VERIGY 	V4000 	Automated Test Equipment 	as is where is
https://www.fabsurplus.com/sdi_catalog/salesItemDetails.do?id=99389
&lt;https://www.fabsurplus.com/sdi_catalog/salesItemDetails.do?id=99389&gt; 	
99389 	VERIGY 	V4000 	Automated Test Equipment 	as is where is
https://www.fabsurplus.com/sdi_catalog/salesItemDetails.do?id=99390
&lt;https://www.fabsurplus.com/sdi_catalog/salesItemDetails.do?id=99390&gt; 	
99390 	VERIGY 	V4000 	Automated Test Equipment 	as is where is
https://www.fabsurplus.com/sdi_catalog/salesItemDetails.do?id=99391
&lt;https://www.fabsurplus.com/sdi_catalog/salesItemDetails.do?id=99391&gt; 	
99391 	VERIGY 	V6000 	Automated Test Equipment 	as is where is
 </t>
  </si>
  <si>
    <t xml:space="preserve">87935</t>
  </si>
  <si>
    <t xml:space="preserve">AE</t>
  </si>
  <si>
    <t xml:space="preserve">APEX-1513</t>
  </si>
  <si>
    <t xml:space="preserve">25</t>
  </si>
  <si>
    <t xml:space="preserve">87936</t>
  </si>
  <si>
    <t xml:space="preserve">APEX-3013</t>
  </si>
  <si>
    <t xml:space="preserve">18</t>
  </si>
  <si>
    <t xml:space="preserve">87937</t>
  </si>
  <si>
    <t xml:space="preserve">AZX-72</t>
  </si>
  <si>
    <t xml:space="preserve">87938</t>
  </si>
  <si>
    <t xml:space="preserve">HFV-8000</t>
  </si>
  <si>
    <t xml:space="preserve">87939</t>
  </si>
  <si>
    <t xml:space="preserve">NAVIGATOR-1013</t>
  </si>
  <si>
    <t xml:space="preserve">11</t>
  </si>
  <si>
    <t xml:space="preserve">87940</t>
  </si>
  <si>
    <t xml:space="preserve">NAVIGATOR-3013</t>
  </si>
  <si>
    <t xml:space="preserve">87941</t>
  </si>
  <si>
    <t xml:space="preserve">OVATION-2560</t>
  </si>
  <si>
    <t xml:space="preserve">87942</t>
  </si>
  <si>
    <t xml:space="preserve">OVATION-35162</t>
  </si>
  <si>
    <t xml:space="preserve">87943</t>
  </si>
  <si>
    <t xml:space="preserve">PARAMOUNT  MF  3KW</t>
  </si>
  <si>
    <t xml:space="preserve">87944</t>
  </si>
  <si>
    <t xml:space="preserve">PARAMOUNT-1513</t>
  </si>
  <si>
    <t xml:space="preserve">87945</t>
  </si>
  <si>
    <t xml:space="preserve">PARAMOUNT-6013</t>
  </si>
  <si>
    <t xml:space="preserve">87946</t>
  </si>
  <si>
    <t xml:space="preserve">PDX-1250</t>
  </si>
  <si>
    <t xml:space="preserve">4</t>
  </si>
  <si>
    <t xml:space="preserve">87947</t>
  </si>
  <si>
    <t xml:space="preserve">PINACLE-20K</t>
  </si>
  <si>
    <t xml:space="preserve">87949</t>
  </si>
  <si>
    <t xml:space="preserve">XSTREAM-8K</t>
  </si>
  <si>
    <t xml:space="preserve">87950</t>
  </si>
  <si>
    <t xml:space="preserve">AEK</t>
  </si>
  <si>
    <t xml:space="preserve">AM-5</t>
  </si>
  <si>
    <t xml:space="preserve">87951</t>
  </si>
  <si>
    <t xml:space="preserve">87952</t>
  </si>
  <si>
    <t xml:space="preserve">ATX-600</t>
  </si>
  <si>
    <t xml:space="preserve">87953</t>
  </si>
  <si>
    <t xml:space="preserve">ION  SOURCE  SUPPLY</t>
  </si>
  <si>
    <t xml:space="preserve">87954</t>
  </si>
  <si>
    <t xml:space="preserve">MDX-10K</t>
  </si>
  <si>
    <t xml:space="preserve">87956</t>
  </si>
  <si>
    <t xml:space="preserve">87957</t>
  </si>
  <si>
    <t xml:space="preserve">NAVIGATOR-2013</t>
  </si>
  <si>
    <t xml:space="preserve">87958</t>
  </si>
  <si>
    <t xml:space="preserve">PDX-8000</t>
  </si>
  <si>
    <t xml:space="preserve">87959</t>
  </si>
  <si>
    <t xml:space="preserve">PDX-900-2V</t>
  </si>
  <si>
    <t xml:space="preserve">38</t>
  </si>
  <si>
    <t xml:space="preserve">87960</t>
  </si>
  <si>
    <t xml:space="preserve">PE-1000</t>
  </si>
  <si>
    <t xml:space="preserve">87961</t>
  </si>
  <si>
    <t xml:space="preserve">RAPID-F</t>
  </si>
  <si>
    <t xml:space="preserve">17</t>
  </si>
  <si>
    <t xml:space="preserve">87962</t>
  </si>
  <si>
    <t xml:space="preserve">RF-5S</t>
  </si>
  <si>
    <t xml:space="preserve">87963</t>
  </si>
  <si>
    <t xml:space="preserve">VM-5000</t>
  </si>
  <si>
    <t xml:space="preserve">87531</t>
  </si>
  <si>
    <t xml:space="preserve">AG ASSOCIATES</t>
  </si>
  <si>
    <t xml:space="preserve">610</t>
  </si>
  <si>
    <t xml:space="preserve">Benchtop RTP System, for up to 6" Wafers</t>
  </si>
  <si>
    <t xml:space="preserve">150  mm</t>
  </si>
  <si>
    <t xml:space="preserve">as is all rebuilt</t>
  </si>
  <si>
    <t xml:space="preserve">2 weeks</t>
  </si>
  <si>
    <t xml:space="preserve">      ·        Single Wafer Process
      ·        Single Rotometer Controlled Gas Channel
      ·        Multi-Step Process Cycle Capability
     ·    Quartz Tray for 6” x 6" square substrates
     ·    Programmable Ramp-Up Rates up to 220ºC/sec.
     ·    450 - 1250ºC Recommended Operating Temp Range; 1350ºC Peak
     Temperature
     ·    Thermocouple and Pyrometer Temperature Control
     ·    1-300 Seconds Processing Cycle
     ·    PC Controller with pCat Software
     ·    208V, 3Ph,  60Hz, 125A Input Power
     90-day parts warranty
     Refurbished to working condition</t>
  </si>
  <si>
    <t xml:space="preserve">64251</t>
  </si>
  <si>
    <t xml:space="preserve">Agilent</t>
  </si>
  <si>
    <t xml:space="preserve">16702A</t>
  </si>
  <si>
    <t xml:space="preserve">LOGIC ANALISYS SYSYEM</t>
  </si>
  <si>
    <t xml:space="preserve">    * 5-slot modular system
    * Color touch screen display
    * 2 slots for emulation modules</t>
  </si>
  <si>
    <t xml:space="preserve">101697</t>
  </si>
  <si>
    <t xml:space="preserve">4072A</t>
  </si>
  <si>
    <t xml:space="preserve">Advanced Parametric Tester</t>
  </si>
  <si>
    <t xml:space="preserve">Configuration
24 pin
4 medium SMU
1 High power SMU
3458A
4284A
C3750
HPUX 11i
Specs keys
208V
Calibration 30 Day Warranty</t>
  </si>
  <si>
    <t xml:space="preserve">102974</t>
  </si>
  <si>
    <t xml:space="preserve">AGILENT</t>
  </si>
  <si>
    <t xml:space="preserve">4155C</t>
  </si>
  <si>
    <t xml:space="preserve">SEMICONDUCTOR PARAMETER ANALYZER</t>
  </si>
  <si>
    <t xml:space="preserve">97847</t>
  </si>
  <si>
    <t xml:space="preserve">E3630A</t>
  </si>
  <si>
    <t xml:space="preserve">DC Power Supply</t>
  </si>
  <si>
    <t xml:space="preserve">102509</t>
  </si>
  <si>
    <t xml:space="preserve">HP4073A</t>
  </si>
  <si>
    <t xml:space="preserve">Parametric TESTER</t>
  </si>
  <si>
    <t xml:space="preserve">101035</t>
  </si>
  <si>
    <t xml:space="preserve">N8241A, ATO‐S4744, 008 062</t>
  </si>
  <si>
    <t xml:space="preserve">Arbitrary Waveform Generator</t>
  </si>
  <si>
    <t xml:space="preserve">Agilent N8241A arbitrary waveform generator with high resolution and high 
sampling rates. Each channel provides modulation bandwidth of 250 MHz at 
625 MS/s (option 062). No cables included.</t>
  </si>
  <si>
    <t xml:space="preserve">101036</t>
  </si>
  <si>
    <t xml:space="preserve">92444</t>
  </si>
  <si>
    <t xml:space="preserve">Agilent / Keysight</t>
  </si>
  <si>
    <t xml:space="preserve">HP4062C</t>
  </si>
  <si>
    <t xml:space="preserve">92445</t>
  </si>
  <si>
    <t xml:space="preserve">HP4072A with P12XL</t>
  </si>
  <si>
    <t xml:space="preserve">92446</t>
  </si>
  <si>
    <t xml:space="preserve">HP4072A with P8LC</t>
  </si>
  <si>
    <t xml:space="preserve">100030</t>
  </si>
  <si>
    <t xml:space="preserve">Agilent/Verigy</t>
  </si>
  <si>
    <t xml:space="preserve">Deinstalled, Warehoused and can be inspected by appointment in the 
warehouse.</t>
  </si>
  <si>
    <t xml:space="preserve">102510</t>
  </si>
  <si>
    <t xml:space="preserve">Pin Scale</t>
  </si>
  <si>
    <t xml:space="preserve">HCDPS Extended Diag P/N: E7002-66523 </t>
  </si>
  <si>
    <t xml:space="preserve">102511</t>
  </si>
  <si>
    <t xml:space="preserve">HCDPS P/N: E7002-69520 </t>
  </si>
  <si>
    <t xml:space="preserve">102512</t>
  </si>
  <si>
    <t xml:space="preserve">HX card P/N: E7996- 66403 </t>
  </si>
  <si>
    <t xml:space="preserve">102513</t>
  </si>
  <si>
    <t xml:space="preserve">MSDPS REV.A P/N: E9711A </t>
  </si>
  <si>
    <t xml:space="preserve">102514</t>
  </si>
  <si>
    <t xml:space="preserve">MSDPS REV.B P/N: E9711B </t>
  </si>
  <si>
    <t xml:space="preserve">102515</t>
  </si>
  <si>
    <t xml:space="preserve">PS1600 upgrade kit (PS400 to PS1600) </t>
  </si>
  <si>
    <t xml:space="preserve">102516</t>
  </si>
  <si>
    <t xml:space="preserve">PS3600 channel board P/N: E8010 </t>
  </si>
  <si>
    <t xml:space="preserve">102517</t>
  </si>
  <si>
    <t xml:space="preserve">PS400 CH (Rev. B) Board P/N: E8012-66401 </t>
  </si>
  <si>
    <t xml:space="preserve">70</t>
  </si>
  <si>
    <t xml:space="preserve">102518</t>
  </si>
  <si>
    <t xml:space="preserve">PS400 Power control cable P/N:E8001-61670 </t>
  </si>
  <si>
    <t xml:space="preserve">8</t>
  </si>
  <si>
    <t xml:space="preserve">102519</t>
  </si>
  <si>
    <t xml:space="preserve">PS400 Power control P/N:E8001-66412 </t>
  </si>
  <si>
    <t xml:space="preserve">102520</t>
  </si>
  <si>
    <t xml:space="preserve">PS400/PS800 Back Plane P/N:E8001-66495 </t>
  </si>
  <si>
    <t xml:space="preserve">102521</t>
  </si>
  <si>
    <t xml:space="preserve">RF Base Tower P/N: N2498B </t>
  </si>
  <si>
    <t xml:space="preserve">102522</t>
  </si>
  <si>
    <t xml:space="preserve">RF Option (2RF sources and FE12) </t>
  </si>
  <si>
    <t xml:space="preserve">102523</t>
  </si>
  <si>
    <t xml:space="preserve">SE-UDPS Board P/N: E7002-66630</t>
  </si>
  <si>
    <t xml:space="preserve">101677</t>
  </si>
  <si>
    <t xml:space="preserve">Agilent/Verigy </t>
  </si>
  <si>
    <t xml:space="preserve">93000 PS3600 </t>
  </si>
  <si>
    <t xml:space="preserve">Configuration available upon request.</t>
  </si>
  <si>
    <t xml:space="preserve">9871</t>
  </si>
  <si>
    <t xml:space="preserve">AIR SYSTEM INTL</t>
  </si>
  <si>
    <t xml:space="preserve">SVB-E8EXP</t>
  </si>
  <si>
    <t xml:space="preserve">Electric Blower, Explosion Proof</t>
  </si>
  <si>
    <t xml:space="preserve">FACILITIES</t>
  </si>
  <si>
    <t xml:space="preserve">* 3/4 HP UL listed motor, 115 VAC, 12 amp * Explosion proof switch 
installed and wired * 8" intake and exhaust flange * 1570 cfm free air 
delivery * 25' duct straight cfm 1222 * 25' duct 1-90 degree bend cfm 1047 
* Approved for Class 1, Div. 1, Groups C &amp; D, Class 2, Div. 1, Groups E, F, 
G * Aluminum non-sparking blower wheel * Powder coat steel frame * Steel 
safety guards weight 36 kg</t>
  </si>
  <si>
    <t xml:space="preserve">102073</t>
  </si>
  <si>
    <t xml:space="preserve">Akrion</t>
  </si>
  <si>
    <t xml:space="preserve">MP-2000</t>
  </si>
  <si>
    <t xml:space="preserve">Parts Clean Sink</t>
  </si>
  <si>
    <t xml:space="preserve">35536</t>
  </si>
  <si>
    <t xml:space="preserve">AKRION</t>
  </si>
  <si>
    <t xml:space="preserve">V2-HL.2000</t>
  </si>
  <si>
    <t xml:space="preserve">Acid Wet Bench</t>
  </si>
  <si>
    <t xml:space="preserve">Hybrid-Linear Automatic Acid Wet Station with Robotic Transfer (New), for 
Dual 150mm Cassettes
No PC inc;luded
Wafer Size Range  	 
  Maximum  	200 mm
  Set Size  	150 mm
Number of Positions  	3
Number of Robots  	1
Automatic Wafer Transfer  	YES
Automatic Wafer Transfer Type  	Robotic
Controller Type  	PLC Controller Type
Other Information  	
    * Serial Number 5715-01
    * PLC Controlled
    * Constructed of Corzan 4910 CPVC
    * TANK 1: PVDF Dual 8” DI/Chrome Etch - Ambient Recirc Bath
    * TANK 2: PVDF Dual 6” DI Dragout - Ambient Static Bath
    * TANK 3: PVDF Dual 6” QDR - Cold
 </t>
  </si>
  <si>
    <t xml:space="preserve">33741</t>
  </si>
  <si>
    <t xml:space="preserve">V2-SA.3200</t>
  </si>
  <si>
    <t xml:space="preserve">Wet Process Station Including Tanks</t>
  </si>
  <si>
    <t xml:space="preserve">150 mm</t>
  </si>
  <si>
    <t xml:space="preserve">Linear robotic transfer
Constructed of Corzan 4910 CPVC
Process tank interior dimensions are 3 ea - 16” x 9” x 10” (d).
  3 ea - QDR tank interior dimensions are 16” x 9” x 9” (d). 
Unused system
    * 3ea UP AKRION Model UP-ATA Robots w/Controllers
    * 4ea Temperature Controlled PVDF Process Baths 16” x 9” x 10”(id)
      w/Re-circulation and Filtration
    * 3ea PVDF QDR tanks 16” x 9” x 9” (id) w/Lid Spray
    * SIEMENS PLC Control System
    * 3ea IWAKI WALCHEM CORP. Model MD 100LFY-1 Magnet Pump
    * 1ea TREBOR Magnum 610 Pump
    * 4ea WAFAB Heat Exchangers</t>
  </si>
  <si>
    <t xml:space="preserve">92699</t>
  </si>
  <si>
    <t xml:space="preserve">AKROMETRIX</t>
  </si>
  <si>
    <t xml:space="preserve">PS400</t>
  </si>
  <si>
    <t xml:space="preserve">Package warpage Measurement</t>
  </si>
  <si>
    <t xml:space="preserve">ASSEMBLY</t>
  </si>
  <si>
    <t xml:space="preserve">83935</t>
  </si>
  <si>
    <t xml:space="preserve">AKT</t>
  </si>
  <si>
    <t xml:space="preserve">1600</t>
  </si>
  <si>
    <t xml:space="preserve">PECVD Gen 2 PECVD deposition system</t>
  </si>
  <si>
    <t xml:space="preserve">Gen 2</t>
  </si>
  <si>
    <t xml:space="preserve">Please find attached the pictures of the AKT 1600 machine we have 
available.
As you can see its a 100% complete machine including chillers interconnect 
cables and so on.
This machine is also equipped with remote plasma units that will 
significant reduce the amount of chamber PM’s and chemicals needed to 
operate.
Machine has been installed and running production (R&amp;D)  for 7 years in day 
shift operation, saying this parts like RF generators / matches are in good 
condition.
Configuration:-
Configuration:-
AKT 1600 PECVD
Software rev: AKT7.3
1. Mainframe
5 x CVD process chambers
2 x loadlocks
1 x AKT vacuum robot
ChA chamber controller
0240-67523
Rev 06
s/n 675230014
Date 9/6/05
ChB chamber controller
0240-67523
Rev 06
s/n 675230015
Date 9/6/05
ChC chamber controller
0240-67523
Rev 06
s/n 675230016
Date 9/6/05
ChD chamber controller
0240-67523
Rev 06
s/n 675230017
Date 9/6/05
ChE chamber controller
0240-67523
Rev 09
s/n 675230038
Date 2/5/08
2. Front end load station
4 x cassette load stations
1 x AKT track robot
3. System controller
VME, DIO, PSU &amp; circuit breakers
4. Gasboxes
2 x gasboxes with MFCs &amp; manual valves
Configuration:-
NF3   
Ar   
N2O   
NH3   
N2   
SiH4   
B2H6_H2    H2   
Ph3_H2
5. Heat exchanger
REX F900
6. Main AC box
208VAC input
Full load 240A
4 x RF generators
ChA Generator
AdTec AX2000 EUII
s/n 10124200585
ChB Generator
AdTec AX2000 EUII
s/n 10124200584
ChC Generator
AdTec AX2000 EUII
s/n 10124200582
ChD Generator
AdTec AX2000 EUII
s/n 10124200583
ChE Generator
AdTec AX2000 EUII
s/n 10124200656
7. Sun workstation controller    Sunblade 150 computer
</t>
  </si>
  <si>
    <t xml:space="preserve">84766</t>
  </si>
  <si>
    <t xml:space="preserve">NAR 1800/8 G6 ITO</t>
  </si>
  <si>
    <t xml:space="preserve">Vertical In-line Sputtering Machine for LCD / TFT panel G6</t>
  </si>
  <si>
    <t xml:space="preserve">730 mm x 920 mm (G6)</t>
  </si>
  <si>
    <r>
      <rPr>
        <sz val="8"/>
        <rFont val="Arial"/>
        <family val="0"/>
        <charset val="1"/>
      </rPr>
      <t xml:space="preserve">-Refer to attached photos for detailed specification and sputter process 
steps.
-Was de-installed mid-June 2017
-Available for immediate purchase.
System Layout and Physical dimensions (NOTE: cleaning section not included 
and no longer available):-
type 	 OEM 	 Model and Configuration 	 Chamber Height 	 Panel Size
Dimensions of Module 	 # Doors 	 voltage 	 Facilities 	 Tact
Time 	 comments
Cleaner 	 MANZ 	  	  	  	  	  	  	  	  	 
ROBOT 	 MANZ 	 H008 Revision 01 	 2,011 	 730*920 	 5000×4500×3600 	  	  	 
CDA
VAC 	 22
Sec 	 </t>
    </r>
    <r>
      <rPr>
        <sz val="8"/>
        <rFont val="Noto Sans CJK SC"/>
        <family val="2"/>
        <charset val="1"/>
      </rPr>
      <t xml:space="preserve">雙</t>
    </r>
    <r>
      <rPr>
        <sz val="8"/>
        <rFont val="Arial"/>
        <family val="0"/>
        <charset val="1"/>
      </rPr>
      <t xml:space="preserve">ROBOT
Robot Type: KR – 60CR3
Axis number: 6
Length of arms: 820mm
Sputter 	 AKT 	 NAR1800
AF-11062009-YP-rev07 	 2,011 	  	  	  	 400V 	 CDA
PCW
AR
O2
N2 	 22
Sec 	 G6
Entrance chamber SN 	 730*920 	 1950×1200×3036 	 4 	 400V 	  	  	 
N chamber 	 730*920 	 1950×1200×3036 	 4 	 400V 	  	  	 
RoCa chamber 	 730*920 	 2900×1200×3036 	 6 	 400V 	  	  	 
R chamber 	 730*920 	 2400×1600×3500 	 1 	 400V 	  	  	 
 </t>
    </r>
  </si>
  <si>
    <t xml:space="preserve">84763</t>
  </si>
  <si>
    <t xml:space="preserve">New Aristo G4.5 NAR 1200L</t>
  </si>
  <si>
    <t xml:space="preserve">Vertical In-line Sputtering Machine for LCD / TFT panel G4.5</t>
  </si>
  <si>
    <t xml:space="preserve">730mm x 920 mm</t>
  </si>
  <si>
    <r>
      <rPr>
        <sz val="8"/>
        <rFont val="Arial"/>
        <family val="0"/>
        <charset val="1"/>
      </rPr>
      <t xml:space="preserve">Technical Specification Vertical In-Line Sputtering Machine
TYPE: NAR 1200 L
Cycle time: 40sec
Mo-Al-Mo Application
Glass size: 730mm x 920mm
1 APPLICATIONS
To meet the present and future demands of LCD / TFT manufacturers, AKT 
America Inc. has designed and developed a vertical In-Line sputtering 
system, called NEW ARISTO. With the NEW ARISTO FAMILY, single and multiple 
layers can be coated on large glass substrates
The following features characterize the machine concept:
Modular design of the chambers
Full range of process options: e.g. heating, cooling, sputtering, glow 
discharge
Superior vacuum
Small footprint in the industry
High productivity due to fast cycle time.
Very high collection efficiency
Ease of maintenance
High uptime
Low particle generation resulting in a superior cost of ownership
    4
     PROCESS DATA
    4.1
     Vacuum Data
     Ultimate pressure* by the:
        * Entrance / exit chamber
     2 E-02 hPa
        * Transfer chamber
     5 E-06 hPa
        * Process chamber
     5 E-06 hPa
         1. Layer Data
               1. Properties of Al single layer
       All data are based on glass
    Layer Material
     Al
     Units
    Layer Thickness:
     2500 ± 10%
    Å
    Thickness Uniformity within substrate ≤±
    5
    %
    Thickness Uniformity within carrier ≤±
    5
    %
    Average resistance ≤
    (as annealed)
     0.14
    Ω
    Uniformity of resistance (on spec value) ≤±
    5
    %
    Reproducibility from carrier to carrier ≤±
    5
    %
               1. Properties of Mo single layer
       All data are based on glass
    Layer Material
     Mo
     Units
    Layer Thickness:
     250 ± 10%
    Å
    Thickness Uniformity within substrate ≤±
    5
    %
    Thickness Uniformity within carrier ≤±
    5
    %
    Average resistance ≤
    (as annealed)
     10.0
    Ω
    Uniformity of resistance (on spec value) ≤±
    5
    %
    Reproducibility from carrier to carrier ≤±
    5
    %
       NOTE: max. Mo thickness: 500A
       Target Material see Attachment 13.10
       Glass specification Corning E2K Display Grade or equal
         1. Productivity
       Throughput: 180 Substrates/h (2 Substrates / carrier) Target
       utilization: ≥ 40% in average over all targets
         1. Cycle Time
       All mechanical operations, move of carriers, pump down, venting and
       process speed are optimized to meet a cycle time of 40sec.
       The process data described in chapter 4.2 and 4.3 have to be
       achieved under a cycle time of 40sec.
   1. TECHNICAL DATA
         1. Dimensions of Machine
                + Required floor space in the gray room area for the
                  machine (chamber, roughing pump sets, cabinets, service
                  zone, w/o atmospheric handling) approx.: 19m x 7m x 4m (l
                  x w x h)
         1. Substrate Carrier
                + Substrate Dimensions: 730mm x 920mm x (0.4 / 0.5 – 1.1) 
                  mm
                + Material: TBD
                + Carrier Dimensions: approx. 1800 mm length approx. 1718
                  mm height
                + Carrier loading capacity: two substrate
                + No masking
         1. Vacuum Measuring Equipment
       for vacuum chamber:
                + Pirani vacuum meter
         Range: 103 hPa to 1*10-3 hPa
                + Ionization gauge
         Range: 10-2 hPa to 1*10-9 hPa
       in addition for each cathode :
                + Capacitance vacuum meter sensor head Range: 10-2 hPa to
                  10-4 hPa
         1. Pumps and Power Supplies
                + High vacuum pump set: Turbo-molecular pump Shimadzu 
                  TPH1503
                + Rough vacuum pumps: AMAT P1000LL plus WSU 2001
                               AMAT S400 plus WSU 2001
                + Mo cathode*: DC power supply ADL 45 KW + 25kW
                + Al cathode*: DC power supply ADL 45 KW + 25KW
       *Max power of cathode will be limited to 40kW via Software limit.
         1. Sputter Cathodes Cathode
                + Type of cathode: Planar Cathode
                + Material of backing plate: Ti, water cooled
                + Magnetic field: Move Mag
                + Target fixing: Bonding
         1. Heater System
                + Heating chamber equipped with resistance heater which
                  emits IR radiation
                + Mode of operation: PID regulation Shielding
                + Shielding material is stainless steel
                + Shielding surface is designed and manufactured with a
                  high sticking coefficient to prevent particle 
                  generation.
                + Transfer- and buffer modules which are installed adjacent
                  to process modules are partly covered with shielding to
                  avoid coating of the chamber walls. This shielding set is
                  not considered as a consumable and is not part of the
                  additional operational parts.
                + Substrate temperature distribution: 100°C ± 15 °C
         1. Machine performance (required system utilities)
                + Electric power: 3 phases, 400 V +-10 % 50/60 Hz, five 
                  wires
                               (3 AC, N, PE)
                + Power consumption: TBD
                + Cooling water specification
                      # pressure min/max.: 5/7 bar absolute
                      # max. back pressure: open drain
                      # water inlet temperature range: 18 - 25 C
                      # selected temperature level should
           be kept constant within: ± 2 °C (for TMP’s only)
                      # hardness of water: 6 - 8 °dH (equivalent 107 - 143
                        ppm CaCO3)
                      # electric conductivity: 100 - 200 µS/cm
                      # pH-value: 8 - 10
                      # foreign particles size: max. 100 µm
                      # foreign particles
concentration: max. 10/cm3
                      # dissolved Cl: max. 20 mg/l
                      # dissolved CO2: max. 15 mg/l
                + Water consumption TBD
                + Compressed air
         Pressure min/max.: 6/8 bar absolute
                + Sputter gas: Argon
                + Purity of sputter gas: 99.999 %
                + Venting gas: Nitrogen or dry compressed air
                      # dew point  - 30 °C
                      # pressure max. 1.5 bar absolute
                + Ambient requirements
                      # for temperature at machine and
machine control room: 20 - 30°C
                      # for relative humidity:  60 %
SYSTEM LAYOUT AND PHYSICAL DIMENSIONS INCLUDING KUKA LOADING ROBOT AND 
CLEANING SYSTEM:-
type 	 OEM 	 Model and Configuration 	 Chamber Height 	 Panel Size
Dimensions of Module 	 # Doors 	 voltage 	 Facilities 	 Tact
Time 	 comments
CLN 	 MANZ 	 O390-0002 	 2,011 	 730*920 	  	  	  	  	  	 </t>
    </r>
    <r>
      <rPr>
        <sz val="8"/>
        <rFont val="Noto Sans CJK SC"/>
        <family val="2"/>
        <charset val="1"/>
      </rPr>
      <t xml:space="preserve">含</t>
    </r>
    <r>
      <rPr>
        <sz val="8"/>
        <rFont val="Arial"/>
        <family val="0"/>
        <charset val="1"/>
      </rPr>
      <t xml:space="preserve">AP
t 0.3mm ~ 2
speed 1000 ~ 20000 mm/min
LD CV 	 730*920 	 1100×1400×2600 	 1 	 220V 	 CDA
Exhaust
DI 	 22
Sec 	 
CV2 	 730*920 	 1100×1400×2600 	 1 	 220V 	 
ISO+DIW BR1 	 730*920 	 1400×2400×2000 	 1 	 220V 	 
DIW BR2 	 730*920 	 1000×2400×2000 	 1 	 220V 	 
Rinse 	 730*920 	 800×2400×2000 	 1 	 220V 	 
BJ+HPR 	 730*920 	 800×2400×2000 	 1 	 220V 	 
FR 	 730*920 	 800×2400×2000 	 1 	 220V 	 
AK 	 730*920 	 1000×2400×2000 	 1 	 220V 	 
ULD 	 730*920 	 1800×1400×2600 	 1 	 220V 	 
ALL CV 	 MIC 	  	 2,011 	 730*920 	  	  	  	 CDA 	 22
Sec 	 
ROBOT 	 MANZ 	 H010 Revision 01 	 2,011 	 730*920 	 5000×4500×3600 	  	  	 
CDA
VAC 	 22
Sec 	 </t>
    </r>
    <r>
      <rPr>
        <sz val="8"/>
        <rFont val="Noto Sans CJK SC"/>
        <family val="2"/>
        <charset val="1"/>
      </rPr>
      <t xml:space="preserve">單</t>
    </r>
    <r>
      <rPr>
        <sz val="8"/>
        <rFont val="Arial"/>
        <family val="0"/>
        <charset val="1"/>
      </rPr>
      <t xml:space="preserve">ROBOT
Robot Type: KR – 60CR3
Axis number: 6
Length of arms: 820mm
SPT 	 AKT 	 NAR1200L
AM-10032009-ML-v6 	 2,011 	 730*920 	  	  	 400V 	 CDA
PCW
AR
O2
N2 	 22
Sec 	 G4.5
Entrance chamber SNL 	 730*920 	 1950×1000×2122 	 4 	 400V 	  	  	 
NL chamber 	 730*920 	 1950×990×2122 	 4 	 400V 	  	  	 
N chamber 	 730*920 	 1350×990×2122 	 2 	 400V 	  	  	 
R chamber 	 730*920 	 2400×1690×2345 	 2 	 400V 	  	  	 
</t>
    </r>
  </si>
  <si>
    <t xml:space="preserve">101739</t>
  </si>
  <si>
    <t xml:space="preserve">AKT / Applied Materials</t>
  </si>
  <si>
    <t xml:space="preserve">PVD Al, Cu, Ti </t>
  </si>
  <si>
    <t xml:space="preserve">300 MM square</t>
  </si>
  <si>
    <t xml:space="preserve">PVD Cluster tool including process chambers (Al 2x, Cu, Ti, sputter etch) 
configured for 300 mm square Configured for 300mm square, but handles up to 
360mm x 460mm gen2 FPD panels
Manufacturer: AKT
Model: 1600PVD
Process: PVD Cluster tool including process chambers (Al 2x, Cu, Ti, 
sputter etch) configured for 300 mm square substrates)
Vintage: 1996
Serial Number: 1600-xxxx
Asset Description: 4 Chamber System, DC Sputter: Cu, Al, NiCr, Ti,; One 
Bake-out Chamber
Tool Status: Bagged and Skidded in Warehouse
Software Version: 4.20.7199
CIM: Yes
Hardware Configuration (Fab)
Main System: 1 Main mini environment Platform
SMIF System: 1 Front Load Station. Non-SMIF. 300mm square substrates
Components
Auto Cassette Loading System configured for 300mm square substrates
Complete remote modules:
Electrical power distribution, vacuum pumps, DC sputtering power supplies, 
Cryo- PVD Cluster tool including process chambers (Al 2x, Cu, Ti, sputter 
etch) configured for 300 mm square substrates)
No missing Parts</t>
  </si>
  <si>
    <t xml:space="preserve">101031</t>
  </si>
  <si>
    <t xml:space="preserve">Aristo 1400L</t>
  </si>
  <si>
    <t xml:space="preserve">Vertical IN-line Sputtering Machine</t>
  </si>
  <si>
    <t xml:space="preserve">Flat Panel </t>
  </si>
  <si>
    <t xml:space="preserve">The sputter carrier can handle the maximum size at1400x1530mm. Under this 
size, different amount substrates can be hold on carrier based on design. 
The original substrate is 650x750mm.
Process:
For the process, ITO sputter with SiO2 and tri-layer metal with MoAlMo are 
original processes for product. ITO and MoAlMo are conductive layer by 
using DC sputtering. SiO2 is deposited using reactive sputtering. For 
different targets, ITO, SiO2 and Metal can be replaced by IZO, SiNx, and 
different metal configuration like MoNb, AlNd, Ti
More specifications available upon request:
-SiO2 / ITA Application
-Mo/Al/Mo Appllication
Please check pictures below for more information.
Also attached are the detailed specification documents of the ITO-SiO2 and 
MoAlMo systems.</t>
  </si>
  <si>
    <t xml:space="preserve">101704</t>
  </si>
  <si>
    <t xml:space="preserve">Vertical In-line Sputtering Machine for LCD / TFT panel G4.5 MoAlMo Process</t>
  </si>
  <si>
    <t xml:space="preserve">G4.5</t>
  </si>
  <si>
    <t xml:space="preserve">The sputter carrier can handle the maximum size at1400x1530mm. Under this 
size, different amount substrates can be hold on carrier based on design. 
The original substrate is 650x750mm.
Process:
For the process, ITO sputter with SiO2 and tri-layer metal with MoAlMo are 
original processes for product. ITO and MoAlMo are conductive layer by 
using DC sputtering. SiO2 is deposited using reactive sputtering. For 
different targets, ITO, SiO2 and Metal can be replaced by IZO, SiNx, and 
different metal configuration like MoNb, AlNd, Ti
More specifications available upon request:
-Mo/Al/Mo Appllication
Please check pictures below for more information.
Also attached are the detailed specification documents of the MoAlMo 
system.</t>
  </si>
  <si>
    <t xml:space="preserve">101705</t>
  </si>
  <si>
    <t xml:space="preserve">102675</t>
  </si>
  <si>
    <t xml:space="preserve">AKT / Applied Materials </t>
  </si>
  <si>
    <t xml:space="preserve">AKT Applied G5 PECVD 5.7</t>
  </si>
  <si>
    <t xml:space="preserve">PECVD</t>
  </si>
  <si>
    <t xml:space="preserve">G5</t>
  </si>
  <si>
    <t xml:space="preserve"> In Fab - Disconnected, Decontaminated, Deinstalled 
DISSASSEMBLY/DEINSTALLATION WILL BE PERFORMED BY APPLIED MATERIALS AT NO 
COST TO THE BUYER. RIGGING AND CRATING IS THE RESPOSIBILITY OF THE BUYER.4 
CH. 15 KAX TRIPLEParameterAMAT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</si>
  <si>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102676</t>
  </si>
  <si>
    <t xml:space="preserve"> In Fab - Disconnected, Decontaminated, Deinstalled DISASSEMBLED ON THE 
PRODUCTION FLOOR. READY TO RIG AND CRATE. NEVER RUN IN PRODUCTION, NO 
CHEMICALS.4 CH. 25 KAXParameterAMAT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</si>
  <si>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102677</t>
  </si>
  <si>
    <t xml:space="preserve"> In Fab - Disconnected, Decontaminated, Not Deinstalled 
DISSASSEMBLY/DEINSTALLATION WILL BE PERFORMED BY APPLIED MATERIALS AT NO 
COST TO THE BUYER. RIGGING AND CRATING IS THE RESPOSIBILITY OF THE BUYER.5 
CHAMBER, 25 KAX PECVDParameterAMAT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</si>
  <si>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102678</t>
  </si>
  <si>
    <t xml:space="preserve">AKT Applied G6 PECVD 5.7</t>
  </si>
  <si>
    <t xml:space="preserve">G6</t>
  </si>
  <si>
    <t xml:space="preserve"> In Fab - Disconnected, Decontaminated, Deinstalled CH. 15 KAXParameterAMAT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</si>
  <si>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102679</t>
  </si>
  <si>
    <t xml:space="preserve"> In Fab - Disconnected, Decontaminated, Deinstalled last indexed: 
2021-01-28:15:58:53 pdf link : 5 CH. 25 KAXParameterAMAT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</si>
  <si>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102680</t>
  </si>
  <si>
    <t xml:space="preserve"> In Fab - Disconnected, Decontaminated, Deinstalled 5 CH. 25 
KAXParameterAMAT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</si>
  <si>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102681</t>
  </si>
  <si>
    <t xml:space="preserve"> In Fab - Disconnected, Decontaminated, Deinstalled 15 KAXParameterAMAT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t>
  </si>
  <si>
    <t xml:space="preserve">33617</t>
  </si>
  <si>
    <t xml:space="preserve">Alcan Tech/Canon</t>
  </si>
  <si>
    <t xml:space="preserve">MAS-8000</t>
  </si>
  <si>
    <t xml:space="preserve">Microwave Ashing System</t>
  </si>
  <si>
    <t xml:space="preserve">200  mm</t>
  </si>
  <si>
    <t xml:space="preserve">Microwave Ashing System.
    * Heated &amp; Water Cooled Platen for up to 200mm Wafers
    * Dual Cassette Load/Unload Platforms
    * MECS UTW-3100P Three Axis Wafer Robot
    * MECS CS-1000 Robot Control System
    * NIHON KOSHUHA MKN-152-3S Microwave Power Supply
    * NIHON KOSHUHA MKN-152-384-OSC Microwave Oscillator Section
    * NIHON KOSHUHA MPA-HZ4SI Power Sensor Amplifier
    * NIHON KOSHUHA AMC-0604-15 Auto Matching Controller
    * NIHON KOSHUHA Microwave Waveguide
    * 3ea NIHON KOSHUHA MPS-60 Microwave Leak Detectors
    * MKS 253A-11321 Throttle Valve
    * MKS 252C-11009 Throttle Valve Controller
    * ALCAN TECH HC-1000 Heater Controller
    * ALCAN TECH PDA-801 Controller
    * ALCATEL ADS-301 Dry Vacuum Pump/Blower Package
    * Stainless Steel System Vacuum Plumbing
    * Facilities Plumbing Cabinet
    * Main Power Circuit Breaker Cabinet</t>
  </si>
  <si>
    <t xml:space="preserve">87545</t>
  </si>
  <si>
    <t xml:space="preserve">ALCATEL</t>
  </si>
  <si>
    <t xml:space="preserve">5150CP</t>
  </si>
  <si>
    <t xml:space="preserve">Turbo Molecular Vacuum Pump</t>
  </si>
  <si>
    <t xml:space="preserve">    * Alcatel CFF 450 Turbo Controller
    * 140 L/S N2 Pumping Speed
    * 100 L/S He Pumping Speed
    * 80 L/S H2 Pumping Speed
    * 5 x 10-9 Ultimate Pressure (mbar) – Water Cooled
    * 27,000 RPM Rotational Speed
    * KF-25 Outlet Flange
    * Pump is Water Cooled
    * hours on controller: 33530</t>
  </si>
  <si>
    <t xml:space="preserve">101863</t>
  </si>
  <si>
    <t xml:space="preserve">Alcatel</t>
  </si>
  <si>
    <t xml:space="preserve">ADP 81</t>
  </si>
  <si>
    <t xml:space="preserve">Dry Pump</t>
  </si>
  <si>
    <t xml:space="preserve">101864</t>
  </si>
  <si>
    <t xml:space="preserve">ADS 1202H</t>
  </si>
  <si>
    <t xml:space="preserve">102074</t>
  </si>
  <si>
    <t xml:space="preserve">ASM 180 TD</t>
  </si>
  <si>
    <t xml:space="preserve">Helium Leak Detector</t>
  </si>
  <si>
    <t xml:space="preserve">91879</t>
  </si>
  <si>
    <t xml:space="preserve">ALESSI</t>
  </si>
  <si>
    <t xml:space="preserve">REL-4500</t>
  </si>
  <si>
    <t xml:space="preserve">Analytical Wafer Prober with 6" (dia.) Gold Plated Chuck</t>
  </si>
  <si>
    <t xml:space="preserve">     ·    6” (dia.) Gold Plated Wafer Vacuum Chuck
     ·    6” X 6” XY Movement with Manual Control
     ·    Magnetic Platen with Micropositioner Vacuum &amp; Signal Ports
     ·    3ea MICROPANIPULATOR Micropositioner
     ·    BAUSCH &amp; LOMB MicroZoom Microscope
      ·         2.25X, 8X &amp; 25X Long Working Distance Objective Lenses
      ·         Trinocular Viewing Head with Camera Port &amp; 10X Eyepieces
      ·         6V 20W Halogen Lamp Vertical Illuminator</t>
  </si>
  <si>
    <t xml:space="preserve">97848</t>
  </si>
  <si>
    <t xml:space="preserve">Allied High Tech Products</t>
  </si>
  <si>
    <t xml:space="preserve">DualPrep1</t>
  </si>
  <si>
    <t xml:space="preserve">Polishing system</t>
  </si>
  <si>
    <t xml:space="preserve">100699</t>
  </si>
  <si>
    <t xml:space="preserve">Alphasem</t>
  </si>
  <si>
    <t xml:space="preserve">DB 608-PRL</t>
  </si>
  <si>
    <t xml:space="preserve">Bonder</t>
  </si>
  <si>
    <t xml:space="preserve">Configuration and pictures available upon request</t>
  </si>
  <si>
    <t xml:space="preserve">100700</t>
  </si>
  <si>
    <t xml:space="preserve">E8001</t>
  </si>
  <si>
    <t xml:space="preserve">Die Sort System</t>
  </si>
  <si>
    <t xml:space="preserve">87475</t>
  </si>
  <si>
    <t xml:space="preserve">ALPHASEM</t>
  </si>
  <si>
    <t xml:space="preserve">Swissline 9006 (Spares)</t>
  </si>
  <si>
    <t xml:space="preserve">Automatic Epoxy Die Bonder, Parts Tool Only</t>
  </si>
  <si>
    <t xml:space="preserve">for spares use</t>
  </si>
  <si>
    <t xml:space="preserve">    * Volumetric Silver-Glass Dispense System With "Star Fish" Dispense
      Tool
    * PGA, Cerdip, LCC and Side Brazed Packages
    * Up to 200 mm (8") Wafers
    * 0.25 – 18 mm (10 – 750 mil) Die Size
    * 25 – 400 gr Pick/Bond Force
    * 0 – 10 secs Bond Time
    * 0.5 secs Cycle Time
    * Programmable Pitch and Adjustable Boat Width of 2", 3.1" or 4.3" With
      Universal Roller-Boat Feed System
    * Multi-magazine Input/Output
    * Quick Lock Vacuum Chucks
    * Cavity Depth Sensor for Automatic Adjustment of the Silver-Glass Bond
      Layer Thickness
    * Inline Automatic Jumper Chip Attach Unit</t>
  </si>
  <si>
    <t xml:space="preserve">87966</t>
  </si>
  <si>
    <t xml:space="preserve">AMAT</t>
  </si>
  <si>
    <t xml:space="preserve">PVD  RF  MATCH</t>
  </si>
  <si>
    <t xml:space="preserve">87967</t>
  </si>
  <si>
    <t xml:space="preserve">AMT</t>
  </si>
  <si>
    <t xml:space="preserve">87968</t>
  </si>
  <si>
    <t xml:space="preserve">HDP-SIDE</t>
  </si>
  <si>
    <t xml:space="preserve">87969</t>
  </si>
  <si>
    <t xml:space="preserve">HDP-TOP</t>
  </si>
  <si>
    <t xml:space="preserve">87970</t>
  </si>
  <si>
    <t xml:space="preserve">HE  RF  MATCH</t>
  </si>
  <si>
    <t xml:space="preserve">87971</t>
  </si>
  <si>
    <t xml:space="preserve">MARKⅡ  CVD</t>
  </si>
  <si>
    <t xml:space="preserve">87972</t>
  </si>
  <si>
    <t xml:space="preserve">MARKⅡ  DPS</t>
  </si>
  <si>
    <t xml:space="preserve">9</t>
  </si>
  <si>
    <t xml:space="preserve">87973</t>
  </si>
  <si>
    <t xml:space="preserve">MARKⅡ  POLY</t>
  </si>
  <si>
    <t xml:space="preserve">87974</t>
  </si>
  <si>
    <t xml:space="preserve">RF  MATCH3</t>
  </si>
  <si>
    <t xml:space="preserve">100908</t>
  </si>
  <si>
    <t xml:space="preserve">AP Systems</t>
  </si>
  <si>
    <t xml:space="preserve">KORONA-1200P</t>
  </si>
  <si>
    <t xml:space="preserve">METAL RTP</t>
  </si>
  <si>
    <t xml:space="preserve">Deinstalled, warehoused. Can be inspected by appointment in the warehouse.</t>
  </si>
  <si>
    <t xml:space="preserve">101768</t>
  </si>
  <si>
    <t xml:space="preserve">Applied Materials</t>
  </si>
  <si>
    <t xml:space="preserve">0010-00557 REV A</t>
  </si>
  <si>
    <t xml:space="preserve">Heat Exchanger</t>
  </si>
  <si>
    <t xml:space="preserve">Type: 0010-00557 rev A
UNIT DIMENSIONS: 51 CM X 73 CM X 70 CM (H)
ESTIMATED CRATE DIMENSIONS: 61 CM X 83 CM X 100 CM (H)
ESTIMATED CRATED WEIGHT: 200 KGS</t>
  </si>
  <si>
    <t xml:space="preserve">101634</t>
  </si>
  <si>
    <t xml:space="preserve">0010-02741</t>
  </si>
  <si>
    <t xml:space="preserve">PLASMA CHUCK ASSY 150mm/125mm</t>
  </si>
  <si>
    <t xml:space="preserve">101635</t>
  </si>
  <si>
    <t xml:space="preserve">0010-04542M-002</t>
  </si>
  <si>
    <t xml:space="preserve">WxZ Heater</t>
  </si>
  <si>
    <t xml:space="preserve">101636</t>
  </si>
  <si>
    <t xml:space="preserve">0010-05813</t>
  </si>
  <si>
    <t xml:space="preserve">ICE 2MHz RF Match PVD</t>
  </si>
  <si>
    <t xml:space="preserve">101637</t>
  </si>
  <si>
    <t xml:space="preserve">0010-17814</t>
  </si>
  <si>
    <t xml:space="preserve">ASSY Endpoint Detector</t>
  </si>
  <si>
    <t xml:space="preserve">101638</t>
  </si>
  <si>
    <t xml:space="preserve">0010-34322</t>
  </si>
  <si>
    <t xml:space="preserve">ASSY, 150mm Susceptor</t>
  </si>
  <si>
    <t xml:space="preserve">92058</t>
  </si>
  <si>
    <t xml:space="preserve">0090-90352</t>
  </si>
  <si>
    <t xml:space="preserve">160kv post acceleration converter</t>
  </si>
  <si>
    <t xml:space="preserve">Working condition, warranty 3 months after delivery.</t>
  </si>
  <si>
    <t xml:space="preserve">102076</t>
  </si>
  <si>
    <t xml:space="preserve">7800RPX</t>
  </si>
  <si>
    <t xml:space="preserve">EPI</t>
  </si>
  <si>
    <t xml:space="preserve">102077</t>
  </si>
  <si>
    <t xml:space="preserve">7811</t>
  </si>
  <si>
    <t xml:space="preserve">102078</t>
  </si>
  <si>
    <t xml:space="preserve">7821</t>
  </si>
  <si>
    <t xml:space="preserve">102079</t>
  </si>
  <si>
    <t xml:space="preserve">101524</t>
  </si>
  <si>
    <t xml:space="preserve">AdvantEdge G5</t>
  </si>
  <si>
    <t xml:space="preserve">Polysilicon Etch</t>
  </si>
  <si>
    <t xml:space="preserve">Configuration available upon request.
Please check pictures below for more information.</t>
  </si>
  <si>
    <t xml:space="preserve">103054</t>
  </si>
  <si>
    <t xml:space="preserve">Centris AdvantEdge G5 Mesa Poly</t>
  </si>
  <si>
    <t xml:space="preserve">Dry Etch 6 chamber Mesa II + 2 AxisWll</t>
  </si>
  <si>
    <t xml:space="preserve">300mm</t>
  </si>
  <si>
    <t xml:space="preserve">Current Condition: Used, In Warehouse - Crated - - Chamber details: Chm 
Position 1: MESAⅡ; Chemicals / Gases Used: CL2, BCL3, AR Chm Position 2: 
MESAⅡ; Chemicals / Gases Used: CL2, BCL3, AR Chm Position 3: MESAⅡ; 
Chemicals / Gases Used: CL2, BCL3, AR Chm Position 4: MESAⅡ; Chemicals / 
Gases Used: CL2, BCL3, AR Chm Position 5: MESAⅡ; Chemicals / Gases Used: 
CL2, BCL3, AR Chm Position 6: MESAⅡ; Chemicals / Gases Used: CL2, BCL3, AR 
Chm Position 7: AxiSwll; Chemicals / Gases Used: H2, O2, N2 Chm Position 8: 
AxiSwll; Chemicals / Gases Used: H2, O2, N2 - Remote Components Cathode 
chiller:SMC-496 Qty 6/208 AC 3-Phase (Not include on tool sales) Wall 
chiller:SMC-H2010 Qty 3/208 AC 3-Phase(Not included) - STANDARD 
SPECIFICATIONS Software Revision : B27243 FI Software: rel-2.11.0 GEM SEC 
Revision: 8.10.30.2 Wafer Size: Diameter 300+/-0.05mm(SEMI M28). 
775+/-25um, Notch Carrier: FOUP (Comply with SEMI E47.1 (25wafers)) Load 
Port: 4 Loadports Facility plate: N2 Regulator; Supplied by Fab in 
floor, CDA regulator 125 PSI on board SMC pressure switch Loadlock Pressure 
Monitor: GAUGE VAC MINI-CONVECTRON W/1-SETPOINT CAJON FTG analog 
Transfer Pressure monitor: GAUGE VAC MINI-CONVECTRON W/1-SETPOINT CAJON FTG 
analog Transfer Pressure monitor: DCR PRESS ABS 1TORR 1/2FVCR 0-10V-OUT 
9P-D .5%ACC Signal Tower: Red/Yellow/Green/Blue(Front x1 and center section 
of loadside and maintenance side x1)DNET Light tower, 4 light cover (RAGV) 
w/CLR DAUG EMO: Turn to Release (FI x3, Ch x6, AC x1) 3 on FI, 1 on each 
chamber, 1 on AC Box Cable Length: HX Control Cable Length 100FT/ Heat 
Exchanger Hose Length 100FT/ Pump Cable Length 75FT/ Monitor 1 Cables 25 
FEET WITH 16 FEET EFFECTIVE Monitor: DUAL 17 IN FLAT PANEL WITH KEYBOARD ON 
ERGO ARM/ REMOTE 17 IN FLAT PANEL ON STAND IPUP: BOC Edward iXL180 X2(1 for 
LL/1 for MF) - HARDWARE CONFIGURATION (Process chamber) Chamber type: 
CENTRIS+ ADVANTEDGE G5M Process kits: Y2O3/Al2O3/SiO2 Gas inject: Y2O3 
Solid Nozzle chamber O-ring: KALREZ Turbo pump: BOC Edwards/ STP-XA3203CV 
RF match: RF Match[RF MATCH, 13.56 MHZ, 8 KVP, 85 A, NAVIGATOR 3013, DPS 
232] / RF Match[RF MATCH, 13.56 MHZ, 3 KV, 35 A, NAVIGATOR 1013-B20N, DPS 
232] RF generator: GEN RF 13.56MHZ 3KW APEX 3013 3 PHASE 208V / GEN RF 
13.56MHZ 1.5KW APEX 1513 3 PHASE 208V EPD windows: Quartz CM Test port: 1/2 
VCR Dual RGA Port: none Endpoint Type: Endpoint type (Eye-D) Endpoint 
Wavelength 1: 200–800nm Cathode Temperature Monitor: Yes ESC Power Supply: 
POWER SUPPLY DC +2KV/-5KV 25W, 24VDC. ESC WITH LOOP COMPENSATION RF Feed: 
By inductively coupled plasma source, the ion energy and ion density Liner: 
Y2O3 LINER - PROCESS GAS BOX CONFIGURATION (Process chamber) Gas line 1: 
Gas line 1-O2 15 sccm GF-125 Gas line 2: Gas line 2-SF6 30 sccm GF-125 Gas 
line 3: Gas line 3-Heated C4F6 50 sccm GF-125 Gas line 4: Gas line 4-CF4 
50 sccm GF-125 Gas line 5: Gas line 5-Cl2 100 sccm GF-125 Gas line 6: Gas 
line 6-HBr 100 sccm GF-125 Gas line 7: Gas line 7-SO2 100 sccm GF-125 Gas 
line 8: Gas line 8-CH2F2 100 sccm GF-125 Gas line 9: Gas line 9-SF6 
200 sccm GF-125 Gas line 10: Gas line 10-Heated BCl3 200 sccm GF-125 Gas 
line 11: Gas line 11-HBr 600 sccm GF-125 Gas line 12: Gas line 12-CL2 
600 sccm GF-125 Gas line 13: Gas line 13-O2 150 sccm GF-125 Gas line 14: 
Gas line 14-N2 200 sccm GF-125 Gas line 15: Gas line 15-CF4 300 sccm GF-125 
Gas line 16: Gas line 16-CHF3 400 sccm GF-125 Gas line 17: Gas line 17-Ar 
500 sccm GF-125 Gas line 18: Gas line 18-He 1000 sccm GF-125 - PROCESS GAS 
BOX CONFIGURATION (Strip chamber) Gas line 7: Gas line 7-N2 1000 sccm 
GF-125 Gas line 8: Gas line 8-O2 10000 sccm GF-125 Gas line 10: Gas line 
10-H2/N2 5000 sccm GF-125 - Damage/Missing parts list</t>
  </si>
  <si>
    <t xml:space="preserve">93032</t>
  </si>
  <si>
    <t xml:space="preserve">CENTRIS DPS MESA</t>
  </si>
  <si>
    <t xml:space="preserve">Dry Etch, Twin 3chamber</t>
  </si>
  <si>
    <t xml:space="preserve">300 MM</t>
  </si>
  <si>
    <t xml:space="preserve">102600</t>
  </si>
  <si>
    <t xml:space="preserve">CENTURA (Chamber)</t>
  </si>
  <si>
    <t xml:space="preserve">SIN Chamber</t>
  </si>
  <si>
    <t xml:space="preserve">PLease check pictures below for more information
 </t>
  </si>
  <si>
    <t xml:space="preserve">91145</t>
  </si>
  <si>
    <t xml:space="preserve">CENTURA 5200</t>
  </si>
  <si>
    <t xml:space="preserve">DLH</t>
  </si>
  <si>
    <t xml:space="preserve">91147</t>
  </si>
  <si>
    <t xml:space="preserve">91150</t>
  </si>
  <si>
    <t xml:space="preserve">91263</t>
  </si>
  <si>
    <t xml:space="preserve">DPS POLY</t>
  </si>
  <si>
    <t xml:space="preserve">91152</t>
  </si>
  <si>
    <t xml:space="preserve">DxZ (SLAINE)</t>
  </si>
  <si>
    <t xml:space="preserve">91148</t>
  </si>
  <si>
    <t xml:space="preserve">DxZ (TEOS)</t>
  </si>
  <si>
    <t xml:space="preserve">94434</t>
  </si>
  <si>
    <t xml:space="preserve">EMAX</t>
  </si>
  <si>
    <t xml:space="preserve">3C/H</t>
  </si>
  <si>
    <t xml:space="preserve">91261</t>
  </si>
  <si>
    <t xml:space="preserve">MXP Metal</t>
  </si>
  <si>
    <t xml:space="preserve">91269</t>
  </si>
  <si>
    <t xml:space="preserve">MxP Poly</t>
  </si>
  <si>
    <t xml:space="preserve">91270</t>
  </si>
  <si>
    <t xml:space="preserve">91262</t>
  </si>
  <si>
    <t xml:space="preserve">MxP+ Oxide</t>
  </si>
  <si>
    <t xml:space="preserve">91260</t>
  </si>
  <si>
    <t xml:space="preserve">MxP+ Oxide </t>
  </si>
  <si>
    <t xml:space="preserve">91264</t>
  </si>
  <si>
    <t xml:space="preserve">SUPER-E</t>
  </si>
  <si>
    <t xml:space="preserve">91149</t>
  </si>
  <si>
    <t xml:space="preserve">WXP (2CVD/2ETCH)</t>
  </si>
  <si>
    <t xml:space="preserve">102855</t>
  </si>
  <si>
    <t xml:space="preserve">Centura 5200</t>
  </si>
  <si>
    <t xml:space="preserve">WxP Chamber (Mechanical Clamp Chuck) Tungsten etch Back</t>
  </si>
  <si>
    <t xml:space="preserve">WxP Chamber (Mechanical Clamp Chuck)</t>
  </si>
  <si>
    <t xml:space="preserve">91146</t>
  </si>
  <si>
    <t xml:space="preserve">WxZ </t>
  </si>
  <si>
    <t xml:space="preserve">91153</t>
  </si>
  <si>
    <t xml:space="preserve">102856</t>
  </si>
  <si>
    <t xml:space="preserve">Centura 5200 DPS II</t>
  </si>
  <si>
    <t xml:space="preserve">Metal Etch with 2 x DPS2 Metal etch and 2 x Axiom CH</t>
  </si>
  <si>
    <t xml:space="preserve">Qty 2 DPS II Metal Etch Chs, 2 Axiom Chs</t>
  </si>
  <si>
    <t xml:space="preserve">97849</t>
  </si>
  <si>
    <t xml:space="preserve">Centura 5200 DPS2 Poly</t>
  </si>
  <si>
    <t xml:space="preserve">Poly Etcher</t>
  </si>
  <si>
    <t xml:space="preserve">102468</t>
  </si>
  <si>
    <t xml:space="preserve">Centura 5200 IPS</t>
  </si>
  <si>
    <t xml:space="preserve">DI-ELECTRIC ETCH SYSTEM WITH 3 CHAMBERS</t>
  </si>
  <si>
    <t xml:space="preserve">De-installed, warehoused.
Can be inspected by appointment.
"as-is no missing"
INCLUDED: Mainframe with IPS 3 chambers / ETO generator rack / AC rack</t>
  </si>
  <si>
    <t xml:space="preserve">102495</t>
  </si>
  <si>
    <t xml:space="preserve">Centura 5200 Polygen TPCC CHAMBER</t>
  </si>
  <si>
    <t xml:space="preserve">RTP Boron Doped Poly Deposition (Reduced Pressure) Chamber </t>
  </si>
  <si>
    <t xml:space="preserve">De-installed and in the warehouse
Chamber type: POLYgen 200 TPCC
Chamber position on mainframe: Position D
Centura RTP Chamber
Single wf Boron doped poly deposition @ reduced pressure  
Gas Configuration: B2H6, SiH4
Pressure: 275 Torr
Temperature: 730 C
Please refer to the attached photos for details of what is included and the 
condition of this item.
Here is a list of some of the main items included:
-ASTEX RPC
-MKS Baratrons
-Flange 0020-35059
-0200-00187
-0010-12814 Heater Assembly, 200 MM, Dual Zone H17 Rigid Terminal
-Flange 0021-09077
-0021-6952 perf Plate, 200 mm Sinergy
-0200-00303 Rev 004 qty 40021-35788 Rev 4 Plate Blocker, 200 mm
-Chamber Interface PCB
-0190-35208 Assembly, MCVD Ch Interface
-0270-00404-003
-3700-01759 Chemraz Oring x 2
-3700-02799 Chemraz Oring
-3700-02316 Chemraz Oring
-3700-01692 Chemraz Oring
-Neslab Steelhead 0 Heat Exchanger</t>
  </si>
  <si>
    <t xml:space="preserve">95928</t>
  </si>
  <si>
    <t xml:space="preserve">Centura Advantedge Carina Mesa</t>
  </si>
  <si>
    <t xml:space="preserve">Dry Etch Cluster Tool</t>
  </si>
  <si>
    <t xml:space="preserve">EFEM/ TM Module/ Chamber B / Axiom Chamber D / AC Rack/ Accessories
De-installed, warehoused. Please refer to attached photos for condition.
CHAMBER B
Model
CH AC DIST BOX DUAL HTR, ADVANTEDGE TSUBASA
AMAT P/N
-
MFG P/N
-
Serial Number
06278536
Voltage
208V
Nr. of Wires
Three + GND
Phase
-
Full load current
80A
Max. System Rating
-
Freq
50/60 Hz
Ampere Rating of the largest load
32 AMPS
Panel main protection device
100 A
Year of construction
-
Diagram #
0170-02572 REV. 04
AXIOM CHAMBER D
Model
CHAMBER AC DISTRIBUTION BOX AXIOM 300mm
AMAT P/N
0190-30702 REV. 03
MFG P/N
IATAMT019030702
Serial Number
11246109
Voltage
208V
Nr. of Wires
Three + GND
Phase
3Ø “∆”
Full load current
80 AMPS
Max. System Rating
36 KVA
Freq
50/60 Hz
Ampere Rating of the largest load
30 AMPS
Interrupting current
10K AMPS I.C
Year of construction
JUN 2011
Diagram #
0170-01579 REV. 4
Remote AC Rack
System Number
424973-XA-ACGR
Model
REMOTE AC RACK UVR, BASIC, CONDUCTOR/CLOSED COUPLE
AMAT P/N
0190-09581 REV. 002
C-H P/N
84-33087-4 REV 5
Serial Number
566604293-1
Voltage
208V
Nr. of Wires
FOUR
Phase
3Ø “∆”
Full load current
320A
Max. AMP rating of main OC device
400 A
Freq
50/60 Hz
Ampere Rating of the largest load
80A
Short-circuit interrupting Capacity of main overcurrent protective device
65K AMPS I.C
Year of construction
MAR 2012
Diagram #
0170-04191 REV 3
 </t>
  </si>
  <si>
    <t xml:space="preserve">103055</t>
  </si>
  <si>
    <t xml:space="preserve">Centura AdvantEdge Mesa2</t>
  </si>
  <si>
    <t xml:space="preserve">Dry Etch Mesa 2  / Mesa 2 W</t>
  </si>
  <si>
    <t xml:space="preserve">103056</t>
  </si>
  <si>
    <t xml:space="preserve">Centura AP AdvantEdge G5 Mesa Poly</t>
  </si>
  <si>
    <t xml:space="preserve">Poly Dry Etch</t>
  </si>
  <si>
    <t xml:space="preserve"> 1.��Application �1 * Etch Centura AP 3 Silicon AdvantEdge G5 Minos/1AxP 
Application Package �3 * W Gate Application �1 * Post Etch Application 
2.��SILICON AXIOM HT CHAMBER �1 * CCM Cover �1 * Ch AC Cover 3 * Silicon 
Advantedge G5 Mino Chamber 3 * MEsa Source 1 * AdvantEdge G5 Minos Swap Kit 
3.��CUSTOMER FAB OPTIONS �1 * Fast eDiagnostic Sys Interface �1 * Fast Data 
Gateway 4.��GAS PANEL OPTIONS - CL2 Purifier 5.��MAINFRAME OPTIONS - 
Corrosion Resistant FI and SWLL 6.��FACTORY INTERFACE OPTIONS �1 * 
Right�Side Storage Pod �1 * Left Side Storage Pod �1 * 3 Load Ports �1 * 
Interface A Option �3 * Infopad Pos A or B �3* Operator Access Switch 1 * 
Front Facing Intake Plenum 7.��REMOTE OPTIONS - Voltage Sag Monitor 
8.��SYSTEM Items �1*Mainframe Lifting sling FIF kit 9.��NON-STANDARD 
REQUEST �3 *DUV Upgrade (ADDL-00312950) CONFIGURED CENTURA AP l 6STK POLY 
ETCH CL2 FILTER D</t>
  </si>
  <si>
    <t xml:space="preserve">103057</t>
  </si>
  <si>
    <t xml:space="preserve"> 1.��Application �1 * Etch Centura AP 3 Silicon AdvantEdge G5 Minos/1AxP 
Application Package �3 * W Gate Application �1 * Post Etch Application 
2.��SILICON AXIOM HT CHAMBER �1 * CCM Cover �1 * Ch AC Cover 3 * Silicon 
Advantedge G5 Mino Chamber 3 * MEsa Source 1 * AdvantEdge G5 Minos Swap Kit 
3.��CUSTOMER FAB OPTIONS �1 * Fast eDiagnostic Sys Interface �1 * Fast Data 
Gateway 4.��GAS PANEL OPTIONS - CL2 Purifier 5.��MAINFRAME OPTIONS - 
Corrosion Resistant FI and SWLL 6.��FACTORY INTERFACE OPTIONS �1 * 
Right�Side Storage Pod �1 * Left Side Storage Pod �1 * 3 Load Ports �1 * 
Interface A Option �3 * Infopad Pos A or B �3* Operator Access Switch 1 * 
Front Facing Intake Plenum 7.��REMOTE OPTIONS - Voltage Sag Monitor 
8.��SYSTEM Items �1*Mainframe Lifting sling FIF kit 9.��NON-STANDARD 
REQUEST Beta Software 3 *DUV Upgrade (ADDL-00312950) CONFIGURED CENTURA AP 
l 6STK POLY ETCH CL2 FILTER D</t>
  </si>
  <si>
    <t xml:space="preserve">102080</t>
  </si>
  <si>
    <t xml:space="preserve">Centura AP iSPRINT</t>
  </si>
  <si>
    <t xml:space="preserve">ALD /CVD SSW Metal CVD</t>
  </si>
  <si>
    <t xml:space="preserve">102081</t>
  </si>
  <si>
    <t xml:space="preserve">Centura Carina Chamber</t>
  </si>
  <si>
    <t xml:space="preserve">Chamber</t>
  </si>
  <si>
    <t xml:space="preserve">100031</t>
  </si>
  <si>
    <t xml:space="preserve">Centura DPS 2 Advantedge Mesa</t>
  </si>
  <si>
    <t xml:space="preserve">Dry Etch</t>
  </si>
  <si>
    <t xml:space="preserve">100032</t>
  </si>
  <si>
    <t xml:space="preserve">Centura DPS 2 G5</t>
  </si>
  <si>
    <t xml:space="preserve">Deinstalled, Warehoused and can be inspected by appointment in the 
warehouse.
see attached photos for details.</t>
  </si>
  <si>
    <t xml:space="preserve">94435</t>
  </si>
  <si>
    <t xml:space="preserve">CENTURA DPS G5</t>
  </si>
  <si>
    <t xml:space="preserve">1Process Chamber /                  1Mesa Chamber</t>
  </si>
  <si>
    <t xml:space="preserve">2C/H</t>
  </si>
  <si>
    <t xml:space="preserve">91276</t>
  </si>
  <si>
    <t xml:space="preserve">Centura DPS II</t>
  </si>
  <si>
    <t xml:space="preserve">NT OS</t>
  </si>
  <si>
    <t xml:space="preserve">98555</t>
  </si>
  <si>
    <t xml:space="preserve">Centura DPS II (AE) POLY</t>
  </si>
  <si>
    <t xml:space="preserve">POLY ETCHER</t>
  </si>
  <si>
    <t xml:space="preserve">Can be inspected by appointment.
Pleae check pictures below for more information
Packing List:
4 Chambers: A, B, C, D
AC Rack
EFEM Module
TM Module</t>
  </si>
  <si>
    <t xml:space="preserve">98556</t>
  </si>
  <si>
    <t xml:space="preserve">Can be inspected by appointment.
Pleae check pictures below for more information</t>
  </si>
  <si>
    <t xml:space="preserve">98557</t>
  </si>
  <si>
    <t xml:space="preserve">91277</t>
  </si>
  <si>
    <t xml:space="preserve">Centura DPS II CHAMBER</t>
  </si>
  <si>
    <t xml:space="preserve">Chamber only</t>
  </si>
  <si>
    <t xml:space="preserve">100909</t>
  </si>
  <si>
    <t xml:space="preserve">CENTURA DPS ll MESA T2</t>
  </si>
  <si>
    <t xml:space="preserve">100910</t>
  </si>
  <si>
    <t xml:space="preserve">100911</t>
  </si>
  <si>
    <t xml:space="preserve">91278</t>
  </si>
  <si>
    <t xml:space="preserve">Centura DPS Metal</t>
  </si>
  <si>
    <t xml:space="preserve">ASP chamber only / Server OS</t>
  </si>
  <si>
    <t xml:space="preserve">102083</t>
  </si>
  <si>
    <t xml:space="preserve">Centura DPS2</t>
  </si>
  <si>
    <t xml:space="preserve">Gate Etch</t>
  </si>
  <si>
    <t xml:space="preserve">102086</t>
  </si>
  <si>
    <t xml:space="preserve">Centura DPS2 Advantedge G5</t>
  </si>
  <si>
    <t xml:space="preserve">2 chamber dry etch cluster tool</t>
  </si>
  <si>
    <t xml:space="preserve">102084</t>
  </si>
  <si>
    <t xml:space="preserve">Centura DPS2 AdvantEdge G5 Mesa</t>
  </si>
  <si>
    <t xml:space="preserve">Poly</t>
  </si>
  <si>
    <t xml:space="preserve">102085</t>
  </si>
  <si>
    <t xml:space="preserve">Centura DPS2 Chamber</t>
  </si>
  <si>
    <t xml:space="preserve">102087</t>
  </si>
  <si>
    <t xml:space="preserve">Centura DPS2 Metal</t>
  </si>
  <si>
    <t xml:space="preserve">Metal Etch</t>
  </si>
  <si>
    <t xml:space="preserve">102088</t>
  </si>
  <si>
    <t xml:space="preserve">Centura DPS2 Poly</t>
  </si>
  <si>
    <t xml:space="preserve">Poly Etch</t>
  </si>
  <si>
    <t xml:space="preserve">102089</t>
  </si>
  <si>
    <t xml:space="preserve">Centura Enabler</t>
  </si>
  <si>
    <t xml:space="preserve">Oxide Etcher</t>
  </si>
  <si>
    <t xml:space="preserve">91279</t>
  </si>
  <si>
    <t xml:space="preserve">CENTURA ENABLER</t>
  </si>
  <si>
    <t xml:space="preserve">Oxide Etcher /server OS PC</t>
  </si>
  <si>
    <t xml:space="preserve">91280</t>
  </si>
  <si>
    <t xml:space="preserve">91281</t>
  </si>
  <si>
    <t xml:space="preserve">91282</t>
  </si>
  <si>
    <t xml:space="preserve">91283</t>
  </si>
  <si>
    <t xml:space="preserve">91316</t>
  </si>
  <si>
    <t xml:space="preserve">91317</t>
  </si>
  <si>
    <t xml:space="preserve">93034</t>
  </si>
  <si>
    <t xml:space="preserve">CENTURA ENABLER E2</t>
  </si>
  <si>
    <t xml:space="preserve">93035</t>
  </si>
  <si>
    <t xml:space="preserve">CENTURA ENABLER E5</t>
  </si>
  <si>
    <t xml:space="preserve">93920</t>
  </si>
  <si>
    <t xml:space="preserve">Centura EPI</t>
  </si>
  <si>
    <t xml:space="preserve">Epitaxial Deposition, reduced pressure, 2 chamber</t>
  </si>
  <si>
    <t xml:space="preserve">Deinstalled, warehoused. Can be inspected by appointment.
Platform Type: 300mm Centura
Application Level 1 : Reduced Pressure
Application Level 2 : Reduced Pressure
First in Fab System or Apps : No
Ch-A : (RH3) Reduced PRESSURE EPI
Ch-B : (RH3) Reduced PRESSURE EPI
Ch-C : Empty
Ch-D : Empty
Electrical: SEMI
Chamber A Configuration
Thickness Control Option AccuSETT 2
Recipe Control AccuSETT Yes
Lamp Type
Ushio BNA8
Chamber B Configuration
Thickness Control Option AccuSETT 2
Recipe Control AccuSETT Yes
Lamp Type
Ushio BNA8
Gas Delivery Configuration
Pump Purge: Yes
Regulator and Displays: Transducers and Regulators
Transducer Display Type: SI (KPA)
H2 Leak Detector: SINGLE
MFC Configuration
#        CH A       CH B
Slot 1   N2          N2
Slot 2   HCL         HCL
Slot 3   SiH4        SiH4
Slot 5   Si2H6       D-DOP#1
Slot 6   HCL         D-DOP#2
Slot 7   DCS         DCS
Slot 8   GeH4        GeH4
Slot 9   M-DOP#1     M-DOP#1
Slot 10  M-DOP#2     M-DOP#2
Mainframe Configuration
Mainframe Type: STD CENTURA
Loadlocks:BATCH LOAD LOCK
Upper Frame H2 Leak Detector:Present
Mass Flow Verification: YES
Multi Water Clean: NO MVC FOR 4 CHAMBER SYSTEM
Wafer Transfer Robot: YASKAWA
ORIENTER: PRE ALIGNER
End effecter: Edge grip PEEK material
Wafer storage: 2 Slot
Wafer Mapping: LED sensor Detection
Number of Load Parts: Two</t>
  </si>
  <si>
    <t xml:space="preserve">94436</t>
  </si>
  <si>
    <t xml:space="preserve">CENTURA MOCVD</t>
  </si>
  <si>
    <t xml:space="preserve">NLighten NEON</t>
  </si>
  <si>
    <t xml:space="preserve">4C/H</t>
  </si>
  <si>
    <t xml:space="preserve">93895</t>
  </si>
  <si>
    <t xml:space="preserve">Centura PC-II CH.</t>
  </si>
  <si>
    <t xml:space="preserve">1 month</t>
  </si>
  <si>
    <t xml:space="preserve">Deinstalled, warehoused. Can be inspected by appointment.
AMAT PC-II Chamber
Including:
- PCII chamber body &amp; components
(RF match, resonator, lifter assy, baratron, turbo pump,
turbo controller)
- 2 RF gen (LF10A, CPS1001) w/ Cable
- iso valve and roughing line from chamber side to
mainframe bulkhead
- 2 Ar mfcs (STEC4400M 300sccm , 20sccm)
- EVs for nupro vlv
- mfc upper and downstream nupro valve
- chamber interface board x1 0010-20004
- chamber interface cable hardness
- slit valve actuator and slit valve
- gas line from chamber to gas box x1 ( chd position )</t>
  </si>
  <si>
    <t xml:space="preserve">94437</t>
  </si>
  <si>
    <t xml:space="preserve">CENTURA RTP</t>
  </si>
  <si>
    <t xml:space="preserve">XE+ </t>
  </si>
  <si>
    <t xml:space="preserve">94438</t>
  </si>
  <si>
    <t xml:space="preserve">3 months</t>
  </si>
  <si>
    <t xml:space="preserve">93256</t>
  </si>
  <si>
    <t xml:space="preserve">CENTURA RTP XE</t>
  </si>
  <si>
    <t xml:space="preserve">RTP</t>
  </si>
  <si>
    <t xml:space="preserve">90377</t>
  </si>
  <si>
    <t xml:space="preserve">Centura RTP XE+</t>
  </si>
  <si>
    <t xml:space="preserve">Rapid Thermal Processing</t>
  </si>
  <si>
    <t xml:space="preserve">RTP_RT
2 Chamber
Check Attached Photos for more details.</t>
  </si>
  <si>
    <t xml:space="preserve">93257</t>
  </si>
  <si>
    <t xml:space="preserve">CENTURA RTP XE+</t>
  </si>
  <si>
    <t xml:space="preserve">TPCC  </t>
  </si>
  <si>
    <t xml:space="preserve">-In refurbished condition.
-Includes set up with 3 months non-consumable parts warranty.
- Please Check Attached Photos for more details.</t>
  </si>
  <si>
    <t xml:space="preserve">87899</t>
  </si>
  <si>
    <t xml:space="preserve">Centura Ultima X</t>
  </si>
  <si>
    <t xml:space="preserve">CVD</t>
  </si>
  <si>
    <t xml:space="preserve">De-installed, warehoused. Inspection is available by appointment.</t>
  </si>
  <si>
    <t xml:space="preserve">86721</t>
  </si>
  <si>
    <t xml:space="preserve">HDP CVD, 2 chamber</t>
  </si>
  <si>
    <t xml:space="preserve">     * 2-chamber - see photos - De-installed, at the warehouse. This
       equipment can be inspected by appointment.
     * RPS Type, with NT O/S</t>
  </si>
  <si>
    <t xml:space="preserve">87078</t>
  </si>
  <si>
    <t xml:space="preserve">91156</t>
  </si>
  <si>
    <t xml:space="preserve">Ultima_X RPS TYPE</t>
  </si>
  <si>
    <t xml:space="preserve">91158</t>
  </si>
  <si>
    <t xml:space="preserve">Centura WCVD</t>
  </si>
  <si>
    <t xml:space="preserve">WSIX(OPTIMA)</t>
  </si>
  <si>
    <t xml:space="preserve">De-installed, warehoused. Can be inspected by appointment.
WILL BE SOLD IN REFURBISHED CONDITION.</t>
  </si>
  <si>
    <t xml:space="preserve">91159</t>
  </si>
  <si>
    <t xml:space="preserve">De-installed, warehoused. Can be inspected by appointment.
REFURBISHED</t>
  </si>
  <si>
    <t xml:space="preserve">91162</t>
  </si>
  <si>
    <t xml:space="preserve">91167</t>
  </si>
  <si>
    <t xml:space="preserve">De-installed, warehoused. Can be inspected by appointment.
REFURBISHED.</t>
  </si>
  <si>
    <t xml:space="preserve">91168</t>
  </si>
  <si>
    <t xml:space="preserve">De-installed, warehoused. Can be inspected by appointment.
TO BE SOLD IN REFURBISHED CONDITION.
for current "as is" condition, please refer to the attached photos.</t>
  </si>
  <si>
    <t xml:space="preserve">91161</t>
  </si>
  <si>
    <t xml:space="preserve">WSIX(OPTIMA) 4 chamber WxZ</t>
  </si>
  <si>
    <t xml:space="preserve">De-installed, warehoused. Can be inspected by appointment.
Please refer to the photos of the core tool - which will be provided 
refurbished to the required specification.</t>
  </si>
  <si>
    <t xml:space="preserve">91157</t>
  </si>
  <si>
    <t xml:space="preserve">WxZ Optima</t>
  </si>
  <si>
    <t xml:space="preserve">91160</t>
  </si>
  <si>
    <t xml:space="preserve">91163</t>
  </si>
  <si>
    <t xml:space="preserve">91164</t>
  </si>
  <si>
    <t xml:space="preserve">91165</t>
  </si>
  <si>
    <t xml:space="preserve">91166</t>
  </si>
  <si>
    <t xml:space="preserve">94439</t>
  </si>
  <si>
    <t xml:space="preserve">36456</t>
  </si>
  <si>
    <t xml:space="preserve">APPLIED MATERIALS</t>
  </si>
  <si>
    <t xml:space="preserve">Centura Wsix</t>
  </si>
  <si>
    <t xml:space="preserve">200mm</t>
  </si>
  <si>
    <t xml:space="preserve">101763</t>
  </si>
  <si>
    <t xml:space="preserve">P5000 CVD Chamber</t>
  </si>
  <si>
    <t xml:space="preserve">Lid, End Point, Wafer &amp; Susp Lift Assy, wfr Hoop
Please check pictures below for more information.</t>
  </si>
  <si>
    <t xml:space="preserve">101764</t>
  </si>
  <si>
    <t xml:space="preserve">98258</t>
  </si>
  <si>
    <t xml:space="preserve">DPS G5</t>
  </si>
  <si>
    <t xml:space="preserve">98259</t>
  </si>
  <si>
    <t xml:space="preserve">98260</t>
  </si>
  <si>
    <t xml:space="preserve">100912</t>
  </si>
  <si>
    <t xml:space="preserve">DPS G5 Mesa</t>
  </si>
  <si>
    <t xml:space="preserve">98261</t>
  </si>
  <si>
    <t xml:space="preserve">DPS G5 MESA</t>
  </si>
  <si>
    <t xml:space="preserve">100913</t>
  </si>
  <si>
    <t xml:space="preserve">DPS II </t>
  </si>
  <si>
    <t xml:space="preserve">AE Poly G3 dry etcher</t>
  </si>
  <si>
    <t xml:space="preserve">100914</t>
  </si>
  <si>
    <t xml:space="preserve">89044</t>
  </si>
  <si>
    <t xml:space="preserve">DPS+ Metal, Centura 2</t>
  </si>
  <si>
    <t xml:space="preserve">Process Chamber</t>
  </si>
  <si>
    <t xml:space="preserve">DPS Plus Metal, Centura 2 chamber.
Condition: "as is".
No process kit is included
Lead time: 4-6 weeks ARO</t>
  </si>
  <si>
    <t xml:space="preserve">102947</t>
  </si>
  <si>
    <t xml:space="preserve">DPS2_Poly</t>
  </si>
  <si>
    <t xml:space="preserve">Dry Etch with 2CH DPS2 and 2 CH Axiom</t>
  </si>
  <si>
    <t xml:space="preserve">102093</t>
  </si>
  <si>
    <t xml:space="preserve">Elite M5 MC</t>
  </si>
  <si>
    <t xml:space="preserve">eBeam Inspection</t>
  </si>
  <si>
    <t xml:space="preserve">102094</t>
  </si>
  <si>
    <t xml:space="preserve">Elite MS MC</t>
  </si>
  <si>
    <t xml:space="preserve">98375</t>
  </si>
  <si>
    <t xml:space="preserve">Enabler Chamber System</t>
  </si>
  <si>
    <t xml:space="preserve">In USA. Can be inspected by appointment.</t>
  </si>
  <si>
    <t xml:space="preserve">93896</t>
  </si>
  <si>
    <t xml:space="preserve">ENABLER_E2</t>
  </si>
  <si>
    <t xml:space="preserve">Etcher</t>
  </si>
  <si>
    <t xml:space="preserve">98023</t>
  </si>
  <si>
    <t xml:space="preserve">ENDURA  II  Chamber</t>
  </si>
  <si>
    <t xml:space="preserve">PVD</t>
  </si>
  <si>
    <t xml:space="preserve">98024</t>
  </si>
  <si>
    <t xml:space="preserve">98025</t>
  </si>
  <si>
    <t xml:space="preserve">98799</t>
  </si>
  <si>
    <t xml:space="preserve">ENDURA 2</t>
  </si>
  <si>
    <t xml:space="preserve">METAL</t>
  </si>
  <si>
    <t xml:space="preserve">98800</t>
  </si>
  <si>
    <t xml:space="preserve">98801</t>
  </si>
  <si>
    <t xml:space="preserve">Metal Etch HT-Al 2ch / SIP-Ti 1ch</t>
  </si>
  <si>
    <t xml:space="preserve">98797</t>
  </si>
  <si>
    <t xml:space="preserve">METAL PCXT</t>
  </si>
  <si>
    <t xml:space="preserve">98798</t>
  </si>
  <si>
    <t xml:space="preserve">102095</t>
  </si>
  <si>
    <t xml:space="preserve">Endura 2 Chamber</t>
  </si>
  <si>
    <t xml:space="preserve">CHAMBER, CVD ALD TiN</t>
  </si>
  <si>
    <t xml:space="preserve">102099</t>
  </si>
  <si>
    <t xml:space="preserve">CVD Co Chambers, VOLTA</t>
  </si>
  <si>
    <t xml:space="preserve">102098</t>
  </si>
  <si>
    <t xml:space="preserve">CVD Cobalt Chambers</t>
  </si>
  <si>
    <t xml:space="preserve">102097</t>
  </si>
  <si>
    <t xml:space="preserve">PVD Ti Chamber</t>
  </si>
  <si>
    <t xml:space="preserve">102096</t>
  </si>
  <si>
    <t xml:space="preserve">RFX</t>
  </si>
  <si>
    <t xml:space="preserve">94440</t>
  </si>
  <si>
    <t xml:space="preserve">ENDURA 2 Chamber only</t>
  </si>
  <si>
    <t xml:space="preserve">AL Ti</t>
  </si>
  <si>
    <t xml:space="preserve">94441</t>
  </si>
  <si>
    <t xml:space="preserve">Degas</t>
  </si>
  <si>
    <t xml:space="preserve">94442</t>
  </si>
  <si>
    <t xml:space="preserve">Ti</t>
  </si>
  <si>
    <t xml:space="preserve">93921</t>
  </si>
  <si>
    <t xml:space="preserve">ENDURA CL</t>
  </si>
  <si>
    <t xml:space="preserve">PVD Cluster tool</t>
  </si>
  <si>
    <t xml:space="preserve">91600</t>
  </si>
  <si>
    <t xml:space="preserve">94443</t>
  </si>
  <si>
    <t xml:space="preserve">ENDURA CL (XP robot)</t>
  </si>
  <si>
    <t xml:space="preserve">CH-1_Ti/CH-2_AL/CH-3_AL/     CH-E&amp;F_Degas </t>
  </si>
  <si>
    <t xml:space="preserve">5C/H</t>
  </si>
  <si>
    <t xml:space="preserve">91615</t>
  </si>
  <si>
    <t xml:space="preserve">ENDURA CL Chamber Only</t>
  </si>
  <si>
    <t xml:space="preserve">AL</t>
  </si>
  <si>
    <t xml:space="preserve">91616</t>
  </si>
  <si>
    <t xml:space="preserve">91617</t>
  </si>
  <si>
    <t xml:space="preserve">91602</t>
  </si>
  <si>
    <t xml:space="preserve">AxZ</t>
  </si>
  <si>
    <t xml:space="preserve">91603</t>
  </si>
  <si>
    <t xml:space="preserve">91604</t>
  </si>
  <si>
    <t xml:space="preserve">91605</t>
  </si>
  <si>
    <t xml:space="preserve">91606</t>
  </si>
  <si>
    <t xml:space="preserve">91607</t>
  </si>
  <si>
    <t xml:space="preserve">91608</t>
  </si>
  <si>
    <t xml:space="preserve">94444</t>
  </si>
  <si>
    <t xml:space="preserve">ENDURA CL Chamber only</t>
  </si>
  <si>
    <t xml:space="preserve">91609</t>
  </si>
  <si>
    <t xml:space="preserve">PRECLEAN</t>
  </si>
  <si>
    <t xml:space="preserve">91612</t>
  </si>
  <si>
    <t xml:space="preserve">91613</t>
  </si>
  <si>
    <t xml:space="preserve">93106</t>
  </si>
  <si>
    <t xml:space="preserve">91610</t>
  </si>
  <si>
    <t xml:space="preserve">TxZ</t>
  </si>
  <si>
    <t xml:space="preserve">91611</t>
  </si>
  <si>
    <t xml:space="preserve">91618</t>
  </si>
  <si>
    <t xml:space="preserve">ENDURA CL Chamber Only </t>
  </si>
  <si>
    <t xml:space="preserve">Chamber 1 (Ver. 001) CPI-VMO</t>
  </si>
  <si>
    <t xml:space="preserve">91622</t>
  </si>
  <si>
    <t xml:space="preserve">Chamber 1 (Ver. 001) CPI-VMO(eSIP TAN)</t>
  </si>
  <si>
    <t xml:space="preserve">91621</t>
  </si>
  <si>
    <t xml:space="preserve">Chamber 1 (Ver.001) CPI-VMO</t>
  </si>
  <si>
    <t xml:space="preserve">91623</t>
  </si>
  <si>
    <t xml:space="preserve">Chamber D (Ver. 001) CPI-VMO(eSIP TAN)</t>
  </si>
  <si>
    <t xml:space="preserve">91620</t>
  </si>
  <si>
    <t xml:space="preserve">SOURCE D (Ver. 003) CPI-VMO</t>
  </si>
  <si>
    <t xml:space="preserve">91619</t>
  </si>
  <si>
    <t xml:space="preserve">SOURCE D (Ver.003) CPI-VMO</t>
  </si>
  <si>
    <t xml:space="preserve">98262</t>
  </si>
  <si>
    <t xml:space="preserve">Endura CL PVD</t>
  </si>
  <si>
    <t xml:space="preserve">102581</t>
  </si>
  <si>
    <t xml:space="preserve">Endura CPI-VMO Chamber</t>
  </si>
  <si>
    <t xml:space="preserve">PVD Chamber, Position C</t>
  </si>
  <si>
    <t xml:space="preserve">new unused</t>
  </si>
  <si>
    <t xml:space="preserve">-A completely new AMAT Endura chamber, which was never used.
-Has been stored in the warehouse for several years
-Can be inspected by appointment
-Parts included:-
Includes:
Make / Model / Description
CTI CRYOGENICS / P300 / On-board cryopump
AMAT/APPLIED MATERIALS / PVD / Controller
GRANVILLE-PHILLIPS / 352 / Gauge &amp; controller
- / - / Machine controller
SANYO DENKI / - / PM Driver
- / 0010-04974 / Remote AC box
- / 0100-00567 / Gas box distribution PCB
- / - / CDN 396 Card
- / - / CDN 391 Card
- / - / PVD/IMP Chamber interlock card</t>
  </si>
  <si>
    <t xml:space="preserve">103058</t>
  </si>
  <si>
    <t xml:space="preserve">Endura II Aluminum Interconnect</t>
  </si>
  <si>
    <t xml:space="preserve">PVD CHC PC, CH1,5 SIP TI, CH 2 ALPS, CH 3,4 HTAl, CH5 RTDSTTN</t>
  </si>
  <si>
    <t xml:space="preserve">Current Condition: Installed - In Production - - Process:�REFLOWSPUT - - 
Chamber Position C- Process Type Reactive PC Chamber Position 1 &amp; 5 - 
Process Type SIP Ti Chamber Position 2 - Process Type ALPS Chamber Position 
3 &amp; 4 - HT Al Chamber Position D - RT DSTTN - Process Type: Reactive PC 
Chamber position: C Shutter option: none chamber body (Al or SST): Al 
chamber body part number: 0040-76718 Slit valve seal (bonded or o-ring): 
Bonded Slit Valve door part number: 0040-84391 Target vendor: n/a Target 
No.: n/a Bakeout/idle power (%): n/a E-Mag Power Supply: n/a E-Mag Supply 
Vendor/Type: n/a OEM Part Number: n/a DC Power supply(AE-MDX????): n/a AMAT 
Part number Master: n/a OEM Part Number Master: n/a AMAT Part number Slave: 
n/a OEM Part Number Slave: n/a Generator Size : n/a Total DC (12 kwh,24kwh, 
etc): n/a Bias Generator : n/a AMAT Part number : n/a OEM Part Number: n/a 
Bias Generator Size: n/a Bias Generator Frequency: 13.56MHz and 2MHz(in one 
generator) Rf coil generator: COMDEL CDX-2000 Rf Match Box: 
0010-21748/0010-52033 AMAT Part number : 0190-23308 OEM Part Number: n/a DC 
Coil Power Supply: n/a AMAT Part Number: n/a OEM Part Number: n/a Magnet 
rotation speed (rpm): n/a Magnet shim thickness: n/a Magnet type: n/a 
Magnet part number: n/a Magnet Serial Number (man. Date): n/a Target to 
magnet spacing(mm): n/a adaptor p/n: 0041-02659 Kit spacer upper p/n: n/a 
Kit spacer lower p/n: n/a upper shield p/n: Belljar 0040-55456 Treatment 
(Arc spray/Bead Blast): AL2O3 Treatment roughness (RA): n/a lower shield 
p/n: 0040-86514 Treatment (Arc spray/Bead Blast): Bead Blast Treatment 
roughness (RA): n/a inner(or mid) shield p/n: 0021-19342 Treatment (Arc 
spray/Bead Blast): Bead Blast Treatment roughness (RA): n/a shield clamp 
p/n: 0020-19258 Treatment (Arc spray/Bead Blast): n/a Treatment roughness 
(RA): n/a inner(or mid) shield clamp p/n: Insulator 0200-01903 Treatment 
(Arc spray/Bead Blast): n/a Treatment roughness (RA): n/a lower shield 
clamp p/n: n/a Treatment (Arc spray/Bead Blast): n/a Treatment roughness 
(RA): n/a pedestal cover p/n: n/a Treatment (Arc spray/Bead Blast): n/a 
Treatment roughness (RA): n/a dep ring p/n: n/a Treatment (Arc spray/Bead 
Blast): n/a Treatment roughness (RA): n/a cover ring p/n: n/a Treatment 
(Arc spray/Bead Blast): n/a Treatment roughness (RA): n/a insulator bushing 
p/n: n/a Treatment (Arc spray/Bead Blast): n/a Treatment roughness (RA): 
n/a Shutter: n/a Treatment (Arc spray/Bead Blast): n/a Treatment roughness 
(RA): n/a pedestal type: n/a pedestal p/n: n/a heater spacing in mm: n/a 
heater spacing in steps: n/a min heater spacing in mm: n/a min heater 
spacing in steps: n/a max heater spacing in mm: n/a max heater spacing in 
steps: n/a Lift fingers p/n: n/a Lift hoop p/n: n/a Cryo restrictor(Y/N): 
n/a Cryo restrictor Part Number: n/a Max Cryo regen gas load (L): n/a Cryo 
gate valve (2/3 pos): Pendulum MFC 1 Gas: He MFC 1 Cal Factor: 1 MFC 1 
Size: 300 MFC 1 Type: He MFC 1 Part Number: 0010-44160 MFC 2 Gas: Ar2 MFC 2 
Cal Factor: 1 MFC 2 Size: 200 MFC 2 Type: Ar MFC 2 Part Number: 3030-13113 
MFC 3 Gas: Ar MFC 3 Cal Factor: 1 MFC 3 Size: 20 MFC 3 Type: Ar MFC 3 Part 
Number: 3030-13116 MFC 4 Gas: (MFC6) H2 MFC 4 Cal Factor: (MFC6) 1 MFC 4 
Size: (MFC6) 100 MFC 4 Type: (MFC6) H2 MFC 4 Part Number: (MFC6) 0015-02990 
Chamber base pressure (T): 0.0000002 Chamber Rate-of-Rise(nTorr/min): 15000 
Press. and ROR at Startup: not necessary Pressure Rise 1 min: not necessary 
Pressure Rise 5 min: not necessary Pressure Rise 10 min: not necessary 
Pressure vs. Gas Flow table: not necessary Process Ar Supply Pressure: 34.7 
Process N2 Supply Pressure: 33.9 Cryo Regen N2 pressure: na Vent Ar 
pressure: 47.7 Optional Gas (He): 30.1 O2 (Ch. F): n/a H2(Ch. E): n/a 
H2(Ch. C): n/a CDA: 95.7 SLIT VALVE CDA: 85 Cooling Water Flow (GPM): 0.8 - 
Process Type: SIP Ti Chamber position: 1,5 Shutter option: yes chamber body 
(Al or SST): SST chamber body part number: 0040-98657 Slit valve seal 
(bonded or o-ring): Bonded Slit Valve door part number: 0040-84391 Target 
vendor: Nikko/Tosoh Target No.: TAG73 Bakeout/idle power (%): 0.4 E-Mag 
Power Supply: n/a E-Mag Supply Vendor/Type: n/a OEM Part Number: n/a DC 
Power supply(AE-MDX????): AE-Pinnacle AMAT Part number Master: 0190-08122 
OEM Part Number Master: n/a AMAT Part number Slave: 0190-08122 OEM Part 
Number Slave: n/a Generator Size : 20kw Total DC (12 kwh,24kwh, etc): 40kw 
Bias Generator : ENI - GHW12Z AMAT Part number : 0190-25529 OEM Part 
Number: n/a Bias Generator Size: 1.25KW Bias Generator Frequency: 13.56MHZ, 
Rf coil generator: n/a Rf Match Box: 0010-02372/0010-52034 AMAT Part number 
: n/a OEM Part Number: n/a DC Coil Power Supply: n/a AMAT Part Number: n/a 
OEM Part Number: n/a Magnet rotation speed (rpm): 65 Magnet shim thickness: 
Ch1:1.25mm�Ch5:1.0mm Magnet type:�LP-3.7.4 Magnet part number: 0010-11228 
Magnet Serial Number (man. Date): no need Target to magnet spacing(mm): 
1.5�0.6 adaptor p/n: 0040-82921 Kit spacer upper p/n: 0040-76943 Kit spacer 
lower p/n: 0040-62877 upper shield p/n: 0020-23549 Treatment (Arc 
spray/Bead Blast): Arc Spray Treatment roughness (RA): n/a lower shield 
p/n: 0020-02344 Treatment (Arc spray/Bead Blast): Arc Spray Treatment 
roughness (RA): n/a inner(or mid) shield p/n: 0020-54777 Treatment (Arc 
spray/Bead Blast): Bead Blast Treatment roughness (RA): n/a shield clamp 
p/n: n/a Treatment (Arc spray/Bead Blast): n/a Treatment roughness (RA): 
n/a inner(or mid) shield clamp p/n: 0020-08299 Treatment (Arc spray/Bead 
Blast): Arc Spray Treatment roughness (RA): n/a lower shield clamp p/n: 
0020-02348 Treatment (Arc spray/Bead Blast): Arc Spray Treatment roughness 
(RA): n/a pedestal cover p/n: n/a Treatment (Arc spray/Bead Blast): n/a 
Treatment roughness (RA): n/a dep ring p/n: 0200-08301 Treatment (Arc 
spray/Bead Blast): n/a Treatment roughness (RA): n/a cover ring p/n: 
0021-17770 Treatment (Arc spray/Bead Blast): Arc Spray Treatment roughness 
(RA): n/a insulator bushing p/n: 0200-00590 Treatment (Arc spray/Bead 
Blast): n/a Treatment roughness (RA): n/a Shutter: 0021-25014 Treatment 
(Arc spray/Bead Blast): Bead Blast Treatment roughness (RA): n/a pedestal 
type: SLT FDR ECHUCK pedestal p/n: 0010-22985 heater spacing in mm: no 
concern heater spacing in steps: -55050 min heater spacing in mm: No Data 
min heater spacing in steps: No Data max heater spacing in mm: No Data max 
heater spacing in steps: No Data Lift fingers p/n: no concern Lift hoop 
p/n: no concern Cryo restrictor(Y/N): n/a Cryo restrictor Part Number: n/a 
Max Cryo regen gas load (L): 400 Cryo gate valve (2/3 pos): 3 Position MFC 
1 Gas: N2 MFC 1 Cal Factor: n/a MFC 1 Size: 200 MFC 1 Type: N2 MFC 1 Part 
Number: na MFC 2 Gas: na MFC 2 Cal Factor: n/a MFC 2 Size: na MFC 2 Type: 
na MFC 2 Part Number: na MFC 3 Gas: Ar MFC 3 Cal Factor: n/a MFC 3 Size: 50 
MFC 3 Type: Ar MFC 3 Part Number: na MFC 4 Gas: ArH MFC 4 Cal Factor: n/a 
MFC 4 Size: 20 MFC 4 Type: n/a MFC 4 Part Number: n/a Chamber base pressure 
(T): 2.0 e-8 Chamber Rate-of-Rise(nTorr/min): 522 Press. and ROR at 
Startup: no concern Pressure Rise 1 min: not necessary Pressure Rise 5 min: 
not necessary Pressure Rise 10 min: not necessary Pressure vs. Gas Flow 
table: not necessary Process Ar Supply Pressure: 30psi Process N2 Supply 
Pressure: 30psi Cryo Regen N2 pressure: 90 Vent Ar pressure: 40 Optional 
Gas (He): n/a O2 (Ch. F): n/a H2(Ch. E): n/a H2(Ch. C): n/a CDA: 88 SLIT 
VALVE CDA: 82 Cooling Water Flow (GPM): 8.9 - Process Type: ALPS Chamber 
position: 2 Shutter option: yes chamber body (Al or SST): SST chamber body 
part number: 0040-98657 Slit valve seal (bonded or o-ring): bonded Slit 
Valve door part number: 0040-84391 Target vendor: Nikko Target No.: TAG86 
Bakeout/idle power (%): n/a E-Mag Power Supply: n/a E-Mag Supply 
Vendor/Type: n/a OEM Part Number: n/a DC Power supply(AE-MDX????): MKS 
DCG-200Z OPTIMA "AMAT Part number Master: 0190-22932-002 (40kw) -&gt; 
0190-26920 (20kw)" OEM Part Number Master: n/a "AMAT Part number Slave: 
0190-22918-002 -&gt;0190-28664 (20kw)" OEM Part Number Slave: n/a Generator 
Size : 20kw Total DC (12 kwh,24kwh, etc): 40kw Bias Generator : ENI GHW-12Z 
AMAT Part number : 0190-25529 OEM Part Number: na Bias Generator Size: 
1250w Bias Generator Frequency: 13.56 Mhz Rf coil generator: n/a Rf Match 
Box: n/a AMAT Part number : n/a OEM Part Number: n/a DC Coil Power Supply: 
n/a AMAT Part Number: n/a OEM Part Number: n/a Magnet rotation speed (rpm): 
65 Magnet shim thickness: na Magnet type: LP3.2.0 Magnet part number: 
0010-26093 Magnet Serial Number (man. Date): no need Target to magnet 
spacing(mm): 1.5mm adaptor p/n: no data Kit spacer upper p/n: n/a Kit 
spacer lower p/n: n/a upper shield p/n: Dark Space Shield 0020-41709 
Treatment (Arc spray/Bead Blast): AS Treatment roughness (RA): n/a lower 
shield p/n: 0021-07952 Treatment (Arc spray/Bead Blast): Bead Blast 
Treatment roughness (RA): n/a inner(or mid) shield p/n: n/a Treatment (Arc 
spray/Bead Blast): n/a Treatment roughness (RA): n/a shield clamp p/n: na 
Treatment (Arc spray/Bead Blast): n/a Treatment roughness (RA): n/a 
inner(or mid) shield clamp p/n: n/a Treatment (Arc spray/Bead Blast): n/a 
Treatment roughness (RA): n/a lower shield clamp p/n: 0020-83315 Treatment 
(Arc spray/Bead Blast): 0200-06863 Treatment roughness (RA): 0200-06864 
pedestal cover p/n: n/a Treatment (Arc spray/Bead Blast): n/a Treatment 
roughness (RA): n/a dep ring p/n: 0200-06863 Treatment (Arc spray/Bead 
Blast): n/a Treatment roughness (RA): n/a cover ring p/n: 0200-06864 
Treatment (Arc spray/Bead Blast): n/a Treatment roughness (RA): n/a 
insulator bushing p/n: n/a Treatment (Arc spray/Bead Blast): n/a Treatment 
roughness (RA): n/a Shutter: 0021-26565 Treatment (Arc spray/Bead Blast): 
AS Treatment roughness (RA): n/a pedestal type: SLT ESC pedestal p/n: 
0010-22985 heater spacing in mm: no data heater spacing in steps: -55050 
min heater spacing in mm: No Data min heater spacing in steps: No Data max 
heater spacing in mm: No Data max heater spacing in steps: No Data Lift 
fingers p/n: no data Lift hoop p/n: no data Cryo restrictor(Y/N): n/a Cryo 
restrictor Part Number: n/a Max Cryo regen gas load (L): na Cryo gate valve 
(2/3 pos): 3 Position MFC 1 Gas: AR MFC 1 Cal Factor: n/a MFC 1 Size: 100 
MFC 1 Type: AR MFC 1 Part Number: na MFC 2 Gas: na MFC 2 Cal Factor: n/a 
MFC 2 Size: na MFC 2 Type: na MFC 2 Part Number: na MFC 3 Gas: ArH MFC 3 
Cal Factor: n/a MFC 3 Size: 20 MFC 3 Type: n/a MFC 3 Part Number: n/a MFC 4 
Gas: n/a MFC 4 Cal Factor: n/a MFC 4 Size: n/a MFC 4 Type: n/a MFC 4 Part 
Number: n/a Chamber base pressure (T): 2.0 e-8 Chamber 
Rate-of-Rise(nTorr/min): 522 Press. and ROR at Startup: no concern Pressure 
Rise 1 min: not necessary Pressure Rise 5 min: not necessary Pressure Rise 
10 min: not necessary Pressure vs. Gas Flow table: not necessary Process Ar 
Supply Pressure: 30psi Process N2 Supply Pressure: 30 Cryo Regen N2 
pressure: 90 Vent Ar pressure: 40 Optional Gas (He): na O2 (Ch. F): n/a 
H2(Ch. E): n/a H2(Ch. C): n/a CDA: 88 SLIT VALVE CDA: 82 Cooling Water Flow 
(GPM): 8.9 - Process Type: HT Al Chamber position: 3,4 Shutter option: yes 
chamber body (Al or SST): SST chamber body part number: 0040-98657 Slit 
valve seal (bonded or o-ring): bonded Slit Valve door part number: 
0040-84391 Target vendor: Tosoh Target No.: TAG113 Bakeout/idle power (%): 
n/a E-Mag Power Supply: n/a E-Mag Supply Vendor/Type: n/a OEM Part Number: 
n/a DC Power supply(AE-MDX????): MKS DCG-200Z OPTIMA AMAT Part number 
Master: 0190-26920-001 OEM Part Number Master: 3152412-243C AMAT Part 
number Slave: 0190-28664-001 OEM Part Number Slave: 3152412-243C Generator 
Size : 20kw Total DC (12 kwh,24kwh, etc): 40kw Bias Generator : n/a AMAT 
Part number : n/a OEM Part Number: n/a Bias Generator Size: n/a Bias 
Generator Frequency: n/a Rf coil generator: n/a Rf Match Box: n/a AMAT Part 
number : n/a OEM Part Number: n/a DC Coil Power Supply: n/a AMAT Part 
Number: n/a OEM Part Number: n/a Magnet rotation speed (rpm): 95 Magnet 
shim thickness: Ch3:0.5mm�Ch4:0.5mm Magnet type: WP Magnet part number: 
0010-03485 Magnet Serial Number (man. Date): no need Target to magnet 
spacing(mm): 1.1mm adaptor p/n: 0040-69768 Kit spacer upper p/n: n/a Kit 
spacer lower p/n: n/a upper shield p/n: 0021-24752 Treatment (Arc 
spray/Bead Blast): Bead Blast Treatment roughness (RA): n/a lower shield 
p/n: 0020-29711 Treatment (Arc spray/Bead Blast): Bead Blast Treatment 
roughness (RA): n/a inner(or mid) shield p/n: n/a Treatment (Arc spray/Bead 
Blast): n/a Treatment roughness (RA): n/a shield clamp p/n: n/a Treatment 
(Arc spray/Bead Blast): n/a Treatment roughness (RA): n/a inner(or mid) 
shield clamp p/n: n/a Treatment (Arc spray/Bead Blast): n/a Treatment 
roughness (RA): n/a lower shield clamp p/n: n/a Treatment (Arc spray/Bead 
Blast): n/a Treatment roughness (RA): n/a pedestal cover p/n: n/a Treatment 
(Arc spray/Bead Blast): n/a Treatment roughness (RA): n/a dep ring p/n: 
0200-07118 Treatment (Arc spray/Bead Blast): n/a Treatment roughness (RA): 
n/a cover ring p/n: 0200-06864 Treatment (Arc spray/Bead Blast): n/a 
Treatment roughness (RA): n/a insulator bushing p/n: n/a Treatment (Arc 
spray/Bead Blast): n/a Treatment roughness (RA): n/a Shutter: 0021-26565 
Treatment (Arc spray/Bead Blast): Bead Blast Treatment roughness (RA): n/a 
pedestal type: HT ECHUCK pedestal p/n: 0010-27430 heater spacing in mm: No 
Data heater spacing in steps: Ch3:-52840�Ch4:-52840 min heater spacing in 
mm: No Data min heater spacing in steps: No Data max heater spacing in mm: 
No Data max heater spacing in steps: No Data Lift fingers p/n:�0020-46828 
Lift hoop p/n:�0020-75465 Cryo restrictor(Y/N): n/a Cryo restrictor Part 
Number: n/a Max Cryo regen gas load (L): 980 Cryo gate valve (2/3 pos): 3 
Positon MFC 1 Gas: n/a MFC 1 Cal Factor: n/a MFC 1 Size: n/a MFC 1 Type: 
n/a MFC 1 Part Number: n/a MFC 2 Gas: n/a MFC 2 Cal Factor: n/a MFC 2 Size: 
n/a MFC 2 Type: n/a MFC 2 Part Number: n/a MFC 3 Gas: Ar MFC 3 Cal Factor: 
1 MFC 3 Size: 200 MFC 3 Type: AE MFC 3 Part Number:�0015-02988 MFC 4 Gas: 
ArH MFC 4 Cal Factor: 1 MFC 4 Size: 20 MFC 4 Type: Ar MFC 4 Part Number: AE 
0015-02990 Chamber base pressure (T): 5.00E-8 Torr Chamber 
Rate-of-Rise(nTorr/min): 5000nTorr/min "Press. and ROR at Startup: Ch2 
Press:1.30E-8Torr�ROR:1100nT/min Ch3 Press:2.0E-8Torr�ROR:947nT/min" 
Pressure Rise 1 min: not necessary Pressure Rise 5 min: not necessary 
Pressure Rise 10 min: not necessary Pressure vs. Gas Flow table: not 
necessary Process Ar Supply Pressure: 30psi Process N2 Supply Pressure: 
93.5 Cryo Regen N2 pressure: 47.7 Vent Ar pressure: 37.9 Optional Gas (He): 
n/a O2 (Ch. F): n/a H2(Ch. E): n/a H2(Ch. C): 95.7 CDA: 85 SLIT VALVE CDA: 
86 Cooling Water Flow (GPM): CH2:8.5 CH3:9.0 - Process Type: (RT DSTTN) 
Chamber position: D Shutter option: yes chamber body (Al or SST): SST 
chamber body part number: 0242-33289 Slit valve seal (bonded or o-ring): 
Bonded Slit Valve door part number: 0040-84391 Target vendor: Nikko/Tosoh 
Target No.: TAG72 Bakeout/idle power (%): 0 E-Mag Power Supply: n/a E-Mag 
Supply Vendor/Type: n/a OEM Part Number: n/a DC Power supply(AE-MDX????): 
ENI AMAT Part number Master: 0190-22931 OEM Part Number Master: DCG200Z 
AMAT Part number Slave: n/a OEM Part Number Slave: n/a Generator Size : 
20kw Total DC (12 kwh,24kwh, etc): 20kw Bias Generator : n/a AMAT Part 
number : n/a OEM Part Number: n/a Bias Generator Size: n/a Bias Generator 
Frequency: n/a Rf coil generator: n/a Rf Match Box: n/a AMAT Part number : 
n/a OEM Part Number: n/a DC Coil Power Supply: n/a AMAT Part Number: n/a 
OEM Part Number: n/a Magnet rotation speed (rpm): 95 Magnet shim thickness: 
na Magnet type: TTN Magnet part number: 0010-03487 Magnet Serial Number 
(man. Date): no need Target to magnet spacing(mm): 1.1mm adaptor p/n: 
0040-69768 Kit spacer upper p/n: n/a Kit spacer lower p/n: n/a upper shield 
p/n: 0021-21234 Treatment (Arc spray/Bead Blast): Bead Blast Treatment 
roughness (RA): n/a lower shield p/n: 0021-22065 Treatment (Arc spray/Bead 
Blast): n/a Treatment roughness (RA): n/a inner(or mid) shield p/n: n/a 
Treatment (Arc spray/Bead Blast): n/a Treatment roughness (RA): n/a shield 
clamp p/n: n/a Treatment (Arc spray/Bead Blast): n/a Treatment roughness 
(RA): n/a inner(or mid) shield clamp p/n: n/a Treatment (Arc spray/Bead 
Blast): n/a Treatment roughness (RA): n/a lower shield clamp p/n: n/a 
Treatment (Arc spray/Bead Blast): n/a Treatm nt roughness (RA): n/a 
pedestal cover p/n: n/a Treatment (Arc spray/Bead Blast): n/a Treatment 
roughness (RA): n/a dep ring p/n: 0040-07291 Treatment (Arc spray/Bead 
Blast): n/a Treatment roughness (RA): n/a cover ring p/n:�0021-22064 
Treatment (Arc spray/Bead Blast): n/a Treatment roughness (RA): n/a 
insulator bushing p/n: n/a Treatment (Arc spray/Bead Blast): n/a Treatment 
roughness (RA): n/a Shutter: 0021-26609 Treatment (Arc spray/Bead Blast): 
n/a Treatment roughness (RA): n/a pedestal type: ADVANCED A101 pedestal 
p/n: 0010-27432 heater spacing in mm: 55mm heater spacing in steps: -51000 
min heater spacing in mm: 32 min heater spacing in steps: -69000 max heater 
spacing in mm: 55 max heater spacing in steps: -51000 Lift fingers p/n: na 
Lift hoop p/n: na Cryo restrictor(Y/N): n/a Cryo restrictor Part Number: 
n/a Max Cryo regen gas load (L): na Cryo gate valve (2/3 pos): 3 Positon 
MFC 1 Gas: N2 process MFC 1 Cal Factor: 0 MFC 1 Size: 200 MFC 1 Type: N2 
MFC 1 Part Number: 0015-02992 MFC 2 Gas: none MFC 2 Cal Factor: n/a MFC 2 
Size: na MFC 2 Type: na MFC 2 Part Number: na MFC 3 Gas: Ar process MFC 3 
Cal Factor: 0 MFC 3 Size: 150 MFC 3 Type: Ar MFC 3 Part Number: 0015-02992 
MFC 4 Gas: n/a MFC 4 Cal Factor: n/a MFC 4 Size: n/a MFC 4 Type: n/a MFC 4 
Part Number: n/a Chamber base pressure (T): 3-E8 Chamber 
Rate-of-Rise(nTorr/min): 650 Press. and ROR at Startup: na Pressure Rise 1 
min: not necessary Pressure Rise 5 min: not necessary Pressure Rise 10 min: 
not necessary Pressure vs. Gas Flow table: not necessary Process Ar Supply 
Pressure: 34.7 Process N2 Supply Pressure: 33.9 Cryo Regen N2 pressure: na 
Vent Ar pressure: 47.7 Optional Gas (He): 37.9 O2 (Ch. F): n/a H2(Ch. E): 
n/a H2(Ch. C): n/a CDA: 95.7 SLIT VALVE CDA: 85 Cooling Water Flow (GPM): 
11.2 -</t>
  </si>
  <si>
    <t xml:space="preserve">103059</t>
  </si>
  <si>
    <t xml:space="preserve">Endura II Copper Barrier/Seed</t>
  </si>
  <si>
    <t xml:space="preserve">PVD CH 1 &amp; 3 SIP Ti CH C,D Reactive PC, CH 2 EnCoReII Ta ,CH 4 EnCoReII Cu</t>
  </si>
  <si>
    <t xml:space="preserve">Current Condition: Installed - In Production - - Chamber Position 1 &amp; 3 - 
Process Type SIP Ti Chamber Position c &amp; D - Process Type Reactive PC 
Chamber Position 2 - EnCoReII Ta Chamber Position 4 - EnCoReII Cu - Process 
Type: SIP Ti Chamber position: 1,3 Shutter option: yes chamber body (Al or 
SST): SST chamber body part number: 0242-33289 Slit valve seal (bonded or 
o-ring): Bonded Slit Valve door part number: 0040-84391 Target vendor: 
Nikko/Tosoh Target No.: TAG73 Bakeout/idle power (%): 40 E-Mag Power 
Supply: n/a E-Mag Supply Vendor/Type: n/a OEM Part Number: n/a DC Power 
supply(AE-MDX????): AE-Pinnacle AMAT Part number Master: 0190-34650 OEM 
Part Number Master: n/a AMAT Part number Slave: 0190-34650 OEM Part Number 
Slave: n/a Generator Size : 20kw Total DC (12 kwh,24kwh, etc): 40kw Bias 
Generator : ENI - GHW12Z AMAT Part number : 0190-25529 OEM Part Number: 
GHW-12Z-12DF2NH-001 Bias Generator Size: 1250w Bias Generator Frequency: 
13.56 Mhz Rf coil generator: n/a AMAT Part number : n/a OEM Part Number: 
n/a RF1 power cable P/N (bias): 0190-02031 RF2 power cable P/N (resonator): 
n/a RF cable (match bax to PIB): 0190-15905 Magnet rotation speed (rpm): 65 
Magnet shim thickness: n/a Magnet type: SIP Magnet part number: 0010-11228 
Magnet Serial Number (man. Date): no need Target to magnet spacing(mm): 
1.5mm adaptor p/n: 0040-82921 Kit spacer upper p/n: 0040-76943 Kit spacer 
lower p/n: 0040-62877 upper shield p/n: 0020-23549 Treatment (Arc 
spray/Bead Blast): Arc Spray Treatment roughness (RA): na lower shield p/n: 
0020-02344 Treatment (Arc spray/Bead Blast): Bead Blast Treatment roughness 
(RA): na inner(or mid) shield p/n: 0020-54777 Treatment (Arc spray/Bead 
Blast): Bead Blast Treatment roughness (RA): na shield clamp p/n: na 
Treatment (Arc spray/Bead Blast): na Treatment roughness (RA): na inner(or 
mid) shield clamp p/n: 0020-08299 Treatment (Arc spray/Bead Blast): Bead 
Blast Treatment roughness (RA): na lower shield clamp p/n: 0020-02348 
Treatment (Arc spray/Bead Blast): Bead Blast Treatment roughness (RA): na 
pedestal cover p/n: na Treatment (Arc spray/Bead Blast): na Treatment 
roughness (RA): na dep ring p/n: 0200-08301 Treatment (Arc spray/Bead 
Blast): na Treatment roughness (RA): na cover ring p/n: 0021-17770 
Treatment (Arc spray/Bead Blast): Bead Blast Treatment roughness (RA): na 
insulator bushing p/n: 0200-00590 Treatment (Arc spray/Bead Blast): na 
Treatment roughness (RA): na Shutter: 0021-25014 Treatment (Arc spray/Bead 
Blast): Bead Blast Treatment roughness (RA): na pedestal type: FDR SLT 
pedestal p/n: 0010-22985 heater spacing in mm: no concern heater spacing in 
steps: -55050 min heater spacing in mm: no concern min heater spacing in 
steps: no concern max heater spacing in mm: no concern max heater spacing 
in steps: no concern Lift fingers p/n: no concern Lift hoop p/n: no concern 
Cryo restrictor(Y/N): na Cryo restrictor Part Number: na Max Cryo regen gas 
load (L): 400 Cryo gate valve (2/3 pos): 3 Position MFC 1 Gas: N2 MFC 1 Cal 
Factor: . MFC 1 Size: 100 MFC 1 Type: na MFC 1 Part Number: na MFC 2 Gas: 
na MFC 2 Cal Factor: na MFC 2 Size: na MFC 2 Type: na MFC 2 Part Number: na 
MFC 3 Gas: Ar MFC 3 Cal Factor: na MFC 3 Size: 50 MFC 3 Type: na MFC 3 Part 
Number: na MFC 4 Gas: ArH MFC 4 Cal Factor: na MFC 4 Size: 20 MFC 4 Type: 
na MFC 4 Part Number: na Chamber base pressure (T): 2.0 e-8 Chamber 
Rate-of-Rise(nTorr/min): 522 Press. and ROR at Startup: no concern Pressure 
Rise 1 min: no concern Pressure Rise 5 min: no concern Pressure Rise 10 
min: no concern Pressure vs. Gas Flow table: no concern Process Ar Supply 
Pressure: 30 Process N2 Supply Pressure: 30 Cryo Regen N2 pressure: 90 Vent 
Ar pressure: 40 Optional Gas (He): na O2 (Ch. F): na H2(Ch. E): na H2(Ch. 
C): na CDA: 88 SLIT VALVE CDA: 82 Cooling Water Flow (GPM): 8.9 - Process 
Type: Reactive PC Chamber position: C/D Shutter option: none chamber body 
(Al or SST): Al chamber body part number: 0040-76718 Slit valve seal 
(bonded or o-ring): Bonded Slit Valve door part number: 0040-84391 Target 
vendor: n/a Target No.: n/a Bakeout/idle power (%): n/a E-Mag Power Supply: 
n/a E-Mag Supply Vendor/Type: n/a OEM Part Number: n/a DC Power 
supply(AE-MDX????): n/a AMAT Part number Master: n/a OEM Part Number 
Master: n/a AMAT Part number Slave: n/a OEM Part Number Slave: n/a 
Generator Size : n/a Total DC (12 kwh,24kwh, etc): n/a Bias Generator : n/a 
AMAT Part number : n/a OEM Part Number: n/a Bias Generator Size: n/a Bias 
Generator Frequency: 13.56MHz / 2MHz (in one generator) Rf coil generator: 
COMDEL CDX-2000 AMAT Part number : 0190-23308 OEM Part Number: n/a RF1 
power cable P/N (bias): 0190-01458 RF2 power cable P/N (resonator): 
0190-04657 RF cable (match bax to PIB): 0150-22371 (Cobalt/reflow) Magnet 
rotation speed (rpm): n/a Magnet shim thickness: n/a Magnet type: n/a 
Magnet part number: n/a Magnet Serial Number (man. Date): no need Target to 
magnet spacing(mm): n/a adaptor p/n: n/a Kit spacer upper p/n: n/a Kit 
spacer lower p/n: n/a upper shield p/n: Belljar 0040-55456 Treatment (Arc 
spray/Bead Blast): n/a Treatment roughness (RA): n/a lower shield p/n: 
0040-86514 Treatment (Arc spray/Bead Blast): n/a Treatment roughness (RA): 
n/a inner(or mid) shield p/n: 0021-19342 Treatment (Arc spray/Bead Blast): 
n/a Treatment roughness (RA): n/a shield clamp p/n: Pedestal�0020-19258 
Treatment (Arc spray/Bead Blast): n/a Treatment roughness (RA): n/a 
inner(or mid) shield clamp p/n: Insulator�0020-01903 Treatment (Arc 
spray/Bead Blast): n/a Treatment roughness (RA): n/a lower shield clamp 
p/n: n/a Treatment (Arc spray/Bead Blast): n/a Treatment roughness (RA): 
n/a pedestal cover p/n: n/a Treatment (Arc spray/Bead Blast): n/a Treatment 
roughness (RA): n/a dep ring p/n: n/a Treatment (Arc spray/Bead Blast): n/a 
Treatment roughness (RA): n/a cover ring p/n: n/a Treatment (Arc spray/Bead 
Blast): n/a Treatment roughness (RA): n/a insulator bushing p/n: n/a 
Treatment (Arc spray/Bead Blast): n/a Treatment roughness (RA): n/a 
Shutter: n/a Treatment (Arc spray/Bead Blast): n/a Treatment roughness 
(RA): n/a pedestal type: n/a pedestal p/n: n/a heater spacing in mm: n/a 
heater spacing in steps: n/a min heater spacing in mm: n/a min heater 
spacing in steps: n/a max heater spacing in mm: n/a max heater spacing in 
steps: n/a Lift fingers p/n: n/a Lift hoop p/n: n/a Cryo restrictor(Y/N): 
n/a Cryo restrictor Part Number: n/a Max Cryo regen gas load (L): n/a Cryo 
gate valve (2/3 pos): Pendulum MFC 1 Gas: He MFC 1 Cal Factor: 1 MFC 1 
Size: 300 MFC 1 Type: He MFC 1 Part Number: 0010-42845 MFC 2 Gas: Ar2 MFC 2 
Cal Factor: 1 MFC 2 Size: 200 MFC 2 Type: Ar MFC 2 Part Number: 0010-42857 
MFC 3 Gas: Ar MFC 3 Cal Factor: 1 MFC 3 Size: 20 MFC 3 Type: Ar MFC 3 Part 
Number: 0010-42843 MFC 4 Gas: (MFC6) H2 MFC 4 Cal Factor: (MFC6) 1 MFC 4 
Size: (MFC6) 100 MFC 4 Type: (MFC6) H2 MFC 4 Part Number: (MFC6) 0010-42861 
Chamber base pressure (T): 0.0000002 Chamber Rate-of-Rise(nTorr/min): 15000 
Press. and ROR at Startup: not necessary Pressure Rise 1 min: not necessary 
Pressure Rise 5 min: not necessary Pressure Rise 10 min: not necessary 
Pressure vs. Gas Flow table: not necessary Process Ar Supply Pressure: 34.7 
Process N2 Supply Pressure: 33.9 Cryo Regen N2 pressure: 100 Vent Ar 
pressure: 47.7 Optional Gas (He): 30.1 O2 (Ch. F): n/a H2(Ch. E): n/a 
H2(Ch. C): n/a CDA: 95.7 SLIT VALVE CDA: 85 Cooling Water Flow (GPM): 0.8 - 
Process Type: EnCoReII Ta Chamber position: 2 Shutter option: yes chamber 
body (Al or SST): SST "chamber body part number: 0040-81737 0040-99334 
0040-77918 0040-98657" Slit valve seal (bonded or o-ring): Bonded Slit 
Valve door part number: 0040-84391 Target vendor: Nikko Target No.: TAG124 
Bakeout/idle power (%): 0 E-Mag Power Supply: 0195-03305 E-Mag Supply 
Vendor/Type: Kollmorgen OEM Part Number: n/a DC Power supply(AE-MDX????): 
AE-Pinnacle AMAT Part number Master: 0190-24674 OEM Part Number Master: na 
AMAT Part number Slave: 0190-24674 OEM Part Number Slave: n/a Generator 
Size : 20kw Total DC (12 kwh,24kwh, etc): 40kw Bias Generator : ENI - 
GHW12Z AMAT Part number : 0190-25530 OEM Part Number: GHW-12Z-12DF2NH-001 
Bias Generator Size: 1250w Bias Generator Frequency: 13.56 Mhz Rf coil 
generator: n/a AMAT Part number : n/a OEM Part Number: n/a RF1 power cable 
P/N (bias): RF2 power cable P/N (resonator): n/a RF cable (match bax to 
PIB): Magnet rotation speed (rpm): 65 Magnet shim thickness: n/a Magnet 
type: Magnet part number: Magnet Serial Number (man. Date): no need Target 
to magnet spacing(mm): 1.5mm adaptor p/n: see chamber body Kit spacer upper 
p/n: see chamber body Kit spacer lower p/n: see chamber body upper shield 
p/n: 0020-23549 Treatment (Arc spray/Bead Blast): Arc Spray Treatment 
roughness (RA): na lower shield p/n: 0020-44976 Treatment (Arc spray/Bead 
Blast): na Treatment roughness (RA): na inner(or mid) shield p/n: 
0020-99268 Treatment (Arc spray/Bead Blast): na Treatment roughness (RA): 
na shield clamp p/n: na Treatment (Arc spray/Bead Blast): na Treatment 
roughness (RA): na inner(or mid) shield clamp p/n: na Treatment (Arc 
spray/Bead Blast): na Treatment roughness (RA): na lower shield clamp p/n: 
na Treatment (Arc spray/Bead Blast): na Treatment roughness (RA): na 
pedestal cover p/n: na Treatment (Arc spray/Bead Blast): na Treatment 
roughness (RA): na dep ring p/n: 0020-63125 Treatment (Arc spray/Bead 
Blast): na Treatment roughness (RA): na cover ring p/n: 0020-63124 
Treatment (Arc spray/Bead Blast): na Treatment roughness (RA): na insulator 
bushing p/n: 0200-00590 Treatment (Arc spray/Bead Blast): na Treatment 
roughness (RA): na Shutter: 0020-45231 Treatment (Arc spray/Bead Blast): na 
Treatment roughness (RA): na pedestal type: Falcon ESC pedestal p/n: 
0010-24456 heater spacing in mm: no concern heater spacing in steps: -55050 
min heater spacing in mm: no concern min heater spacing in steps: no 
concern max heater spacing in mm: no concern max heater spacing in steps: 
no concern Lift fingers p/n: no concern Lift hoop p/n: no concern Cryo 
restrictor(Y/N): na Cryo restrictor Part Number: na Max Cryo regen gas load 
(L): 400 Cryo gate valve (2/3 pos): 3 Position MFC 1 Gas: N2 MFC 1 Cal 
Factor: . MFC 1 Size: 92 MFC 1 Type: na MFC 1 Part Number: na MFC 2 Gas: na 
MFC 2 Cal Factor: na MFC 2 Size: na MFC 2 Type: na MFC 2 Part Number: 
CELERITY MFC 3 Gas: Ar MFC 3 Cal Factor: na MFC 3 Size: 50 MFC 3 Type: na 
MFC 3 Part Number: CELERITY MFC 4 Gas: ArH MFC 4 Cal Factor: na MFC 4 Size: 
20 MFC 4 Type: na MFC 4 Part Number: CELERITY Chamber base pressure (T): 
2.0 e-8 Chamber Rate-of-Rise(nTorr/min): 522 Press. and ROR at Startup: no 
concern Pressure Rise 1 min: no concern Pressure Rise 5 min: no concern 
Pressure Rise 10 min: no concern Pressure vs. Gas Flow table: no concern 
Process Ar Supply Pressure: 30 Process N2 Supply Pressure: 30 Cryo Regen N2 
pressure: 90 Vent Ar pressure: 40 Optional Gas (He): na O2 (Ch. F): na 
H2(Ch. E): na H2(Ch. C): na CDA: 88 SLIT VALVE CDA: 82 Cooling Water Flow 
(GPM): 8.9 - Process Type: EnCoReII Cu Chamber position: 4 Shutter option: 
yes chamber body (Al or SST): SST "chamber body part number: 0040-64076 
0040-90375 0090-04724 0040-76824" Slit valve seal (bonded or o-ring): 
Bonded Slit Valve door part number: 0040-84391 Target vendor: Nikko Target 
No.: TAG131 Bakeout/idle power (%): 0 E-Mag Power Supply: n/a E-Mag Supply 
Vendor/Type: n/a OEM Part Number: n/a DC Power supply(AE-MDX????): 
AE-Pinnacle AMAT Part number Master: 0190-25692 OEM Part Number Master: n/a 
AMAT Part number Slave: 0190-25692 OEM Part Number Slave: n/a Generator 
Size : 20kw Total DC (12 kwh,24kwh, etc): 40kw Bias Generator : ENI - 
GHW12Z AMAT Part number : 0190-25530 OEM Part Number: GHW-12Z-12DF2NH-001 
Bias Generator Size: 1250w Bias Generator Frequency: 13.56 Mhz Rf coil 
generator: n/a AMAT Part number : n/a OEM Part Number: n/a RF1 power cable 
P/N (bias): RF2 power cable P/N (resonator): n/a RF cable (match bax to 
PIB): Magnet rotation speed (rpm): 65 Magnet shim thickness: n/a Magnet 
type: Magnet part number: Magnet Serial Number (man. Date): no need Target 
to magnet spacing(mm): 1.5mm adaptor p/n: see chamber body Kit spacer upper 
p/n: see chamber body Kit spacer lower p/n: see chamber body upper shield 
p/n: 0021-16781 Treatment (Arc spray/Bead Blast): na Treatment roughness 
(RA): na lower shield p/n: 0020-85755 Treatment (Arc spray/Bead Blast): na 
Treatment roughness (RA): na inner(or mid) shield p/n: 0020-83706 Treatment 
(Arc spray/Bead Blast): na Treatment roughness (RA): na shield clamp p/n: 
na Treatment (Arc spray/Bead Blast): na Treatment roughness (RA): na 
inner(or mid) shield clamp p/n: 0020-26374 Treatment (Arc spray/Bead 
Blast): na Treatment roughness (RA): na lower shield clamp p/n: 0020-02348 
Treatment (Arc spray/Bead Blast): na Treatment roughness (RA): na pedestal 
cover p/n: na Treatment (Arc spray/Bead Blast): na Treatment roughness 
(RA): na dep ring p/n: 0200-04017 Treatment (Arc spray/Bead Blast): na 
Treatment roughness (RA): na cover ring p/n: 0021-16783 Treatment (Arc 
spray/Bead Blast): na Treatment roughness (RA): na insulator bushing p/n: 
0200-00590 Treatment (Arc spray/Bead Blast): na Treatment roughness (RA): 
na Shutter: 0021-25014 Treatment (Arc spray/Bead Blast): na Treatment 
roughness (RA): na pedestal type: Falcon ESC pedestal p/n: 0010-24456 
heater spacing in mm: no concern heater spacing in steps: -55050 min heater 
spacing in mm: no concern min heater spacing in steps: no concern max 
heater spacing in mm: no concern max heater spacing in steps: no concern 
Lift fingers p/n: no concern Lift hoop p/n: no concern Cryo 
restrictor(Y/N): na Cryo restrictor Part Number: na Max Cryo regen gas load 
(L): 400 Cryo gate valve (2/3 pos): 3 Position MFC 1 Gas: na MFC 1 Cal 
Factor: na MFC 1 Size: na MFC 1 Type: na MFC 1 Part Number: na MFC 2 Gas: 
Ar MFC 2 Cal Factor: 1 MFC 2 Size: 200 MFC 2 Type: na MFC 2 Part Number: 
CELERITY MFC 3 Gas: Ar MFC 3 Cal Factor: na MFC 3 Size: 20 MFC 3 Type: na 
MFC 3 Part Number: CELERITY MFC 4 Gas: ArH MFC 4 Cal Factor: na MFC 4 Size: 
20 MFC 4 Type: na MFC 4 Part Number: CELERITY Chamber base pressure (T): 
2.0 e-8 Chamber Rate-of-Rise(nTorr/min): 522 Press. and ROR at Startup: no 
concern Pressure Rise 1 min: no concern Pressure Rise 5 min: no concern 
Pressure Rise 10 min: no concern Pressure vs. Gas Flow table: no concern 
Process Ar Supply Pressure: 30 Process N2 Supply Pressure: 30 Cryo Regen N2 
pressure: 90 Vent Ar pressure: 40 Optional Gas (He): na O2 (Ch. F): na 
H2(Ch. E): na H2(Ch. C): na CDA: 88 SLIT VALVE CDA: 82 Cooling Water Flow 
(GPM): 8.9 - Damage/Missing parts list</t>
  </si>
  <si>
    <t xml:space="preserve">103061</t>
  </si>
  <si>
    <t xml:space="preserve">Endura II Front-End Metallization</t>
  </si>
  <si>
    <t xml:space="preserve">Process: BDL</t>
  </si>
  <si>
    <t xml:space="preserve">103060</t>
  </si>
  <si>
    <t xml:space="preserve">PVD CH2 Co CH3 Co CH 5 Co CHC PCXT CHD PCXT CH E DEGAS CH F DEGAS CH A CD-DG CHB CD-DG</t>
  </si>
  <si>
    <t xml:space="preserve">Current Condition: Installed - In Production - PVD - 11-3AMAT_ENDURA2_CO_01 
- COBALT - - Mainframe Frame Type: E2 300MM ENDURA Software Version: CPCI 
B50140 Load Lock Type: Single wafer load lock Robot Blade Type: ACB 
Transfer Blade Type: ACB Cryo: CTI,�On Board Cryo Compressor: IS1000 Heat 
Exchanger: DAIKIN Chm Position 2: Cobalt, Chemicals / Gases Used: N2,Ar Chm 
Position 3: Cobalt,�Chemicals / Gases Used: N2,Ar Chm Position 5: 
Cobalt,�Chemicals / Gases Used: N2,Ar Chm Position C: PCXT,�Chemicals / 
Gases Used: N2,Ar Chm Position D: PCXT,�Chemicals / Gases Used: N2,Ar 
Chamber Position: E, F, Process Type: Dual Mode Degas Chamber position: A, 
B, Process Type: Cool - DEGAS chamber Chamber Position: E, F Process Type: 
Dual Mode Degas Pump, Turbo - Adixen: CTI, On-Board - Cool chamber Chamber 
position: A, B Process Type: Cool - Process Type: Reactive PC Chamber 
position: C,D Shutter option: none chamber body (Al or SST): Al chamber 
body part number: 0040-76718 Slit valve seal (bonded or o-ring): bonded 
Slit Valve door part number: 0040-84391 Target vendor: n/a Target No.: n/a 
Bakeout/idle power (%): n/a E-Mag Power Supply: n/a E-Mag Supply 
Vendor/Type: n/a OEM Part Number: n/a DC Power supply(AE-MDX????): n/a AMAT 
Part number Master: n/a OEM Part Number Master: n/a AMAT Part number Slave: 
n/a OEM Part Number Slave: n/a Generator Size : n/a Total DC (12 kwh,24kwh, 
etc): n/a Bias Generator : n/a AMAT Part number : n/a OEM Part Number: n/a 
Bias Generator Size: n/a Bias Generator Frequency: 13.56MHz and 2MHz(in one 
generator) Rf coil generator: COMDEL CDX-2000 AMAT Part number : 0190-23308 
OEM Part Number: n/a DC Coil Power Supply: n/a AMAT Part Number: n/a OEM 
Part Number: n/a Magnet rotation speed (rpm): n/a Magnet type: n/a Magnet 
part number: n/a adaptor p/n: n/a Kit spacer upper p/n: n/a Kit spacer 
lower p/n: n/a upper shield p/n: Belljar 0040-55456 Treatment (Arc 
spray/Bead Blast): Al2O3 Treatment roughness (RA): n/a lower shield p/n: 
0040-86514 Treatment (Arc spray/Bead Blast): Bead Blast Treatment roughness 
(RA): n/a inner(or mid) shield p/n: 0021-19342 Treatment (Arc spray/Bead 
Blast): Bead Blast Treatment roughness (RA): n/a shield clamp p/n: 
0020-19258 Treatment (Arc spray/Bead Blast): n/a Treatment roughness (RA): 
n/a inner(or mid) shield clamp p/n: Insulator 0200-01903 Treatment (Arc 
spray/Bead Blast): Al2O3 Treatment roughness (RA): n/a lower shield clamp 
p/n: n/a Treatment (Arc spray/Bead Blast): n/a Treatment roughness (RA): 
n/a pedestal cover p/n: n/a Treatment (Arc spray/Bead Blast): n/a Treatment 
roughness (RA): n/a dep ring p/n: n/a Treatment (Arc spray/Bead Blast): n/a 
Treatment roughness (RA): n/a cover ring p/n: n/a Treatment (Arc spray/Bead 
Blast): n/a Treatment roughness (RA): n/a insulator bushing p/n: n/a 
Treatment (Arc spray/Bead Blast): n/a Treatment roughness (RA): n/a 
Shutter: n/a Treatment (Arc spray/Bead Blast): n/a Treatment roughness 
(RA): n/a pedestal type: n/a pedestal p/n: n/a Lift fingers p/n: n/a Lift 
hoop p/n: n/a Cryo restrictor(Y/N): n/a Cryo restrictor Part Number: n/a 
Max Cryo regen gas load (L): n/a Cryo gate valve (2/3 pos): Pendulum MFC 1 
Gas: He MFC 1 Cal Factor: 1 MFC 1 Size: 300 MFC 1 Type: He MFC 1 Part 
Number: 0010-44160 MFC 2 Gas: Ar2 MFC 2 Cal Factor: 1 MFC 2 Size: 200 MFC 2 
Type: Ar MFC 2 Part Number: 3030-13113 MFC 3 Gas: Ar MFC 3 Cal Factor: 1 
MFC 3 Size: 20 MFC 3 Type: Ar MFC 3 Part Number: 3030-13116 MFC 4 Gas: 
(MFC6) H2 MFC 4 Cal Factor: (MFC6) 1 MFC 4 Size: (MFC6) 100 MFC 4 Type: 
(MFC6) H2 MFC 4 Part Number: (MFC6) 0015-02990 Chamber base pressure (T): 
0.0000002 Chamber Rate-of-Rise(nTorr/min): 15000 Press. and ROR at Startup: 
not necessary Pressure Rise 1 min: not necessary Pressure Rise 5 min: not 
necessary Pressure Rise 10 min: not necessary Pressure vs. Gas Flow table: 
not necessary Process Ar Supply Pressure: 34.7 Process N2 Supply Pressure: 
33.9 Cryo Regen N2 pressure: na Vent Ar pressure: 47.7 Optional Gas (He): 
30.1 O2 (Ch. F): n/a H2(Ch. E): n/a H2(Ch. C): n/a CDA: 95.7 SLIT VALVE 
CDA: 85 Cooling Water Flow (GPM): 0.8 - Process Type: Cobalt Chamber 
position: 2,3,5 Shutter option: yes chamber body (Al or SST): SST chamber 
body part number: 0040-98657 Slit valve seal (bonded or o-ring): bonded 
Slit Valve door part number: 0040-84391 Target vendor: NIKKO Target No.: 
TAG169 Bakeout/idle power (%): n/a E-Mag Power Supply: n/a E-Mag Supply 
Vendor/Type: n/a OEM Part Number: n/a DC Power supply(AE-MDX????): MKS AMAT 
Part number Master: 0190-23736 OEM Part Number Master: n/a AMAT Part number 
Slave: n/a OEM Part Number Slave: n/a Generator Size : 10kw Total DC (12 
kwh,24kwh, etc): 10kw Bias Generator : n/a AMAT Part number : n/a OEM Part 
Number: n/a Bias Generator Size: n/a Bias Generator Frequency: n/a Rf coil 
generator: n/a AMAT Part number : n/a OEM Part Number: n/a DC Coil Power 
Supply: n/a AMAT Part Number: n/a OEM Part Number: n/a Magnet rotation 
speed (rpm): 55 Magnet type: ALPS CO Magnet part number: 0010-51232 
"adaptor p/n:�0240-29326 KIT, ADAPTER, ALPS CO, 300MM ENDURA BLUE 
adapter:0040-62882" Kit spacer upper p/n: n/a Kit spacer lower p/n: n/a 
upper shield p/n: DARK SPACE SHIELD 0021-18068 Treatment (Arc spray/Bead 
Blast): Bead Blast Treatment roughness (RA): n/a lower shield p/n: 
0020-48185 Treatment (Arc spray/Bead Blast): Bead Blast Treatment roughness 
(RA): n/a inner(or mid) shield p/n: 0040-76737 (Ground ring) Treatment (Arc 
spray/Bead Blast): n/a Treatment roughness (RA): n/a shield clamp p/n: n/a 
Treatment (Arc spray/Bead Blast): n/a Treatment roughness (RA): n/a 
inner(or mid) shield clamp p/n: n/a Treatment (Arc spray/Bead Blast): n/a 
Treatment roughness (RA): n/a lower shield clamp p/n: n/a Treatment (Arc 
spray/Bead Blast): n/a Treatment roughness (RA): n/a pedestal cover p/n: 
n/a Treatment (Arc spray/Bead Blast): n/a Treatment roughness (RA): n/a dep 
ring p/n: 0200-20437 Treatment (Arc spray/Bead Blast): n/a Treatment 
roughness (RA): n/a cover ring p/n: 0021-22177 Treatment (Arc spray/Bead 
Blast): Bead Blast Treatment roughness (RA): n/a insulator bushing p/n: n/a 
Treatment (Arc spray/Bead Blast): n/a Treatment roughness (RA): n/a 
Shutter: 0021-26565 Treatment (Arc spray/Bead Blast): Bead Blast Treatment 
roughness (RA): n/a pedestal type: HT-ESC pedestal p/n: 0010-27430 Lift 
fingers p/n:�0020-46828 Lift hoop p/n:�0020-75465 Cryo restrictor(Y/N): n/a 
Cryo restrictor Part Number: n/a Max Cryo regen gas load (L): n/a Cryo gate 
valve (2/3 pos): 3 Position MFC 1 Gas: AR MFC 1 Cal Factor: n/a MFC 1 Size: 
100 MFC 1 Type: AR "MFC 1 Part Number: Brooks (can not see P/N)" MFC 2 Gas: 
AR MFC 2 Cal Factor: n/a MFC 2 Size: 20 MFC 2 Type: AR "MFC 2 Part Number: 
Brooks 0010-42843" MFC 3 Gas: n/a MFC 3 Cal Factor: n/a MFC 3 Size: n/a MFC 
3 Type: n/a MFC 3 Part Number: n/a MFC 4 Gas: n/a MFC 4 Cal Factor: n/a MFC 
4 Size: n/a MFC 4 Type: n/a MFC 4 Part Number: n/a Chamber base pressure 
(T): 5.00E-8 Torr Chamber Rate-of-Rise(nTorr/min): 2000nTorr/min Press. and 
ROR at Startup: Ch2/3/5:Press:2.20E-08Torr��ROR:2xx nT/min Pressure Rise 1 
min: not necessary Pressure Rise 5 min: not necessary Pressure Rise 10 min: 
not necessary Pressure vs. Gas Flow table: not necessary Process Ar Supply 
Pressure: 32psi Process N2 Supply Pressure: n/a Cryo Regen N2 pressure: 78 
Vent Ar pressure: n/a Optional Gas (He): n/a O2 (Ch. F): n/a H2(Ch. E): n/a 
H2(Ch. C): n/a CDA: 78 SLIT VALVE CDA: 77 Cooling Water Flow (GPM): 
CH2:8�CH3:10 CH5:11 - Damage/Missing parts list</t>
  </si>
  <si>
    <t xml:space="preserve">103062</t>
  </si>
  <si>
    <t xml:space="preserve">Endura II Liner/Barrier</t>
  </si>
  <si>
    <t xml:space="preserve">PVD CH2 Ti, CH3 TiN, CH4 TiN, CHC PreCln, CHD PreCln, CHE Degas CHF Degas</t>
  </si>
  <si>
    <t xml:space="preserve">Current Condition: Used, In Warehouse - Not Crated - Tool has been 
de-installed by a third party and is stored in an off-site warehouse. - - 
[Chamber 2] For Ti PVD chamber DCPS;OPTIMA DCG-200,ENI,for PVD 
PUMP/CRYO,OBIS,HELIX HT ESC type stage Ar;150/20sccm - [Chamber 3] For TiN 
PVD chamber DCPS;OPTIMA DCG-200,ENI,for PVD PUMP/CRYO,OBIS,HELIX A101 type 
stage Ar/N2;150/200sccm - [Chamber 4] For TiN PVD chamber DCPS;OPTIMA 
DCG-200,ENI,for PVD PUMP/CRYO,OBIS,HELIX A101 type stage Ar/N2;150/200sccm 
- [Chamber C] For Pre-CLN chamber,PCXT RFPS;CDX-2000,13.56/2MHz,COMDEL,for 
BIAS/SLA PUMP/TMP MAG1300,LEYBOLD. Ar;200/20sccm - [Chamber D] For Pre-CLN 
chamber,PCXT RFPS;CDX-2000,13.56/2MHz,COMDEL,for BIAS/SLA PUMP/TMP 
MAG1300,LEYBOLD. Ar;200/20sccm - [Chamber E] For Degas,Plate heater 
PUMP/CRYO,HELIX ON-BOARD IS Ar,press. Controlled - [Chamber F] For 
Degas,Plate heater PUMP/CRYO,HELIX ON-BOARD IS Ar,press. Controlled - -</t>
  </si>
  <si>
    <t xml:space="preserve">97053</t>
  </si>
  <si>
    <t xml:space="preserve">ENDURA2 Chamber only</t>
  </si>
  <si>
    <t xml:space="preserve">Amber-(Ti) chamber</t>
  </si>
  <si>
    <t xml:space="preserve">De-installed and warehoused. Can be inspected by appointment. Please refer 
to the attached photos for details.</t>
  </si>
  <si>
    <t xml:space="preserve">97054</t>
  </si>
  <si>
    <t xml:space="preserve">ESIP chamber</t>
  </si>
  <si>
    <t xml:space="preserve">97055</t>
  </si>
  <si>
    <t xml:space="preserve">Extensa Chamber</t>
  </si>
  <si>
    <t xml:space="preserve">97056</t>
  </si>
  <si>
    <t xml:space="preserve">IMP-Ti Chamber</t>
  </si>
  <si>
    <t xml:space="preserve">97057</t>
  </si>
  <si>
    <t xml:space="preserve">MOALD (IMP Ti) Chamber</t>
  </si>
  <si>
    <t xml:space="preserve">97058</t>
  </si>
  <si>
    <t xml:space="preserve">RfxT_CU Chamber</t>
  </si>
  <si>
    <t xml:space="preserve">97059</t>
  </si>
  <si>
    <t xml:space="preserve">94445</t>
  </si>
  <si>
    <t xml:space="preserve">ENDURA2 Chamber Only</t>
  </si>
  <si>
    <t xml:space="preserve">SIP</t>
  </si>
  <si>
    <t xml:space="preserve">97060</t>
  </si>
  <si>
    <t xml:space="preserve">WSI chamber only</t>
  </si>
  <si>
    <t xml:space="preserve">97061</t>
  </si>
  <si>
    <t xml:space="preserve">97062</t>
  </si>
  <si>
    <t xml:space="preserve">97063</t>
  </si>
  <si>
    <t xml:space="preserve">91284</t>
  </si>
  <si>
    <t xml:space="preserve">Etch dry chamber Only</t>
  </si>
  <si>
    <t xml:space="preserve">AXIOM, DPS</t>
  </si>
  <si>
    <t xml:space="preserve">91285</t>
  </si>
  <si>
    <t xml:space="preserve">100886</t>
  </si>
  <si>
    <t xml:space="preserve">Mirra 3400 Standalone</t>
  </si>
  <si>
    <t xml:space="preserve">CMP Wafer Polisher</t>
  </si>
  <si>
    <t xml:space="preserve">Warranty (parts only) 3 months upon Shipment.
Inspection available upon request.
Please check pictures below for more information.</t>
  </si>
  <si>
    <t xml:space="preserve">100868</t>
  </si>
  <si>
    <t xml:space="preserve">Mirra Mesa</t>
  </si>
  <si>
    <t xml:space="preserve">CMP System</t>
  </si>
  <si>
    <t xml:space="preserve">5 months</t>
  </si>
  <si>
    <t xml:space="preserve">Leadtime 4 to 5 months.</t>
  </si>
  <si>
    <t xml:space="preserve">96534</t>
  </si>
  <si>
    <t xml:space="preserve">CMP system</t>
  </si>
  <si>
    <t xml:space="preserve">-Completely refurbished to your specification.
-See attached photo for current condition.
-See the pdf attached for the configuration in detail.</t>
  </si>
  <si>
    <t xml:space="preserve">100873</t>
  </si>
  <si>
    <t xml:space="preserve">Mirra Mesa Integrated</t>
  </si>
  <si>
    <t xml:space="preserve">Oxide/STI CMP</t>
  </si>
  <si>
    <t xml:space="preserve">THIS EQUIPMENT IS AVAILABLE IN COMPLETELY REFURBISHED CONDITION, RE-BUILT 
TO YOUR REQUIRED SPECIFICATION.
THE FOLLOWING IS AN EXAMPLE OF A SPECIFICATION WHICH CAN BE PROVIDED:-
System configuration 	 
General information 	Selected Option
Technology 	Oxide/STI/WCMP/CUCMP
Platform Type 	Mirra Mesa
Wafer Specification 	Selected Option
Wafer Size 	200mm
Wafer Shape 	Notch Type
Mirra 3400 CMP System
System Information 	Selected Option
Application 	Oxide/STI/WCMP/CUCMP
System 	DRY IN-DRY OUT
Process Type 	All Process
Cleaner Type 	Mesa
Wet Robot Type 	Standard Refurbished
Wet Queue Tank 	NA
System Skins 	Clear Skins
Load Cup 	Full Contact HCLU, Overhauled
Cassette Type 	8 inch
Performance Enhancement Options 	Selected Option
Daily PM Reduction Kit (Clean Kit) 	Optional
Pad Conditioner Head1~3 	DDF3
Pad Conditioner Disk Holder 	Universal - Screw type
Pad Conditioner Sweep Hard Stop 	Yes
Pad Conditioner retrofit 	Normal DDF3
Pad Conditioner Gear Assembly Overhaul 	Yes
Waterfall Spray Cleaning System 	Optional
Factory Interface Options 	Selected Option
Platen 1 ISRM 	Legacy
Platen 2 ISRM 	Legacy
Platen 3 ISRM 	Legacy
In Line Metrology 	NA
SECS GEM Interface 	Yes
High Speed Messaging System (HSMS) 	Optional
Installation Type 	RORZE FABS202
Integrated System Basic FABS 	Yes (FFU included)
FABS Robot Blade 	YES, OEM new or overhauled
Cassette Tank 	YES
Factory Automation 	Yes
Polisher Options 	Selected Option
Polishing Head (Head1~4) 	TITAN 1 x 4ea
Upper Pneumatics Assembly (UPA) 	TITAN1 UPA
UPA Location 	External Relocated
Pad Wafer Loss Sensor 	Dual Sensor
Platen Temperature Control 	No
Platen Temp Control Cable 	No
Upper Platen Coating 	Teflon Coating
Platen Gear Assembly Overhaul 	Yes, Greaseless Type
Slurry Delivery Options 	Selected Option
Slurry Delivery 	3 Slurries
Slurry Flow Rate 	Standard Flow
Slurry Flow Controller (CLC) 	Tokyo Keiso CLC x 3
Slurry Pump Head 	Yes (Not Applicable if CLC model is chosen)
Slurry Containment Bulkhead 	Double Containment
Slurry Facilities 	None
Slurry Loop Line 	No
Slurry Loop Line A 	Slurry (PL1, PL2, PL3)
Slurry Loop Line B 	Optional
Slurry Loop Line C 	Optional
Slurry Dispense Arm 	Standard Length Platen1~3
High Pressure Rinse
Slurry Leak Detector 	Yes
Cleaner Plumbing 	Not Applicable
DI Water 	Standard
Slurry Tube 	Yes
Slurry Filter &amp; Housing 	NO
Slip Out Sensor Slurry Cover Per Head 	Yes
FACILITIES OPTIONS
System Safety 	Selected Option
EMO Guard Ring 	Yes
EMO IO 	No
System Labels 	English
System User Labels 	English
LOTO Box 	NO
Smoke Detector 	Yes
Polisher Slurry Leak Sensor 	Yes
Electrical Requirements 	Selected Option
Line Frequency 	50 HZ
Line Voltage 	200/208 VAC
Uninterruptible Power Supply 	None
Power Lamp 	Green Lamp
Power Connected Lamp 	No
Circuit Breaker 	200A
Controller Top Panel 	Holes Punched Out for AC Power Cables Entry
Configurable IO 	No
GFI Type 	Standard 30mA
Isolation Transformer 	No
Umbilical's 	Selected Option
CAT Track Style 	WaterFall
Polisher to Controller Cable 	Standard 30ft
Controller to Monitor Cable 	Standard
Slurry System Interface Cable 	None
Factory Hookup 	Selected Option
Upper Exhaust 	Standard
Upper Exhaust Material 	Stainless Steel
Lower Exhaust 	None
Process Exhaust Vent Interlock Sensor 	Yes
Upper Exhaust Connection 	No Flange
Drain Manifold 	Options:
1 Line or 4 Lines to Facilities
Drain Adapter 	NPT Fittings
Internal Vacuum Venturi 	Yes
 </t>
  </si>
  <si>
    <t xml:space="preserve">96537</t>
  </si>
  <si>
    <t xml:space="preserve">Mirra Ontrak</t>
  </si>
  <si>
    <t xml:space="preserve">Poly/STI CMP</t>
  </si>
  <si>
    <t xml:space="preserve">THIS EQUIPMENT IS AVAILABLE IN COMPLETELY REFURBISHED CONDITION, RE-BUILT 
TO YOUR REQUIRED SPECIFICATION.
EQUIPMENT DETAILS:
System configuration 	Preferred system configuration
General information 	Selected Option
Technology 	Oxide/STI/WCMP/CUCMP
Platform Type 	Mirra Ontrak
Wafer Specification 	Selected Option
Wafer Size 	200mm
Wafer Shape 	Notch Type
Mirra 3400 CMP System
System Information 	Selected Option
Application 	Oxide/STI/WCMP/CUCMP
System 	Dry-In-Dry-Out
Process Type 	All Process
Cleaner Type 	Ontrak Integra
Wet Robot Type 	Standard
Wet Queue Tank 	Yes
System Skins 	
Clear Skins
Load Cup 	Full Contact HCLU, Overhauled
Cassette Type 	8 inch
Performance Enhancement Options 	Selected Option
Daily PM Reduction Kit (Clean Kit) 	NA
Pad Conditioner Head 1~3 	DDF3
Pad Conditioner Disk Holder 	Universal, Screw type
Pad Conditioner Retrofit 	
Normal DDF3
Pad Conditioner Gear Assembly Overhaul 	Yes
Factory Interface Options 	Selected Option
Platen 1 ISRM 	Legacy
Platen 2 ISRM 	Legacy
Platen 3 ISRM 	Legacy
In Line Metrology 	Not Applicable
SECS GEM Interface 	Yes
Installation Type 	FABS202
Integrated System Basic FABS 	Yes (FFU included)
FABS Robot Blade 	Yes, OEM new or overhauled
Cassette Tank 	Yes
Factory Automation 	Yes
Polisher Options 	Selected Option
Polishing Head (Head1~4) 	TITAN 1 x 4
Upper Pneumatics Assembly (UPA) 	TITAN1 UPA
UPA Location 	External Relocated
Pad Wafer Loss Sensor 	Dual Sensor
Platen Temperature Control 	No
Platen Temp Control Cable 	No
Upper Platen Coating 	Teflon Coating
Platen Gear Assembly Overhaul 	Yes, Greaseless Type
Slurry Delivery Options 	Selected Option
Slurry Delivery 	3 Slurries
Slurry Flow Rate 	Standard Flow
Slurry Flow Controller (CLC) 	Tokyo Keiso CLC x 3
Slurry Pump Head 	Yes (Not applicable, if CLC model is selected)
Slurry Containment Bulkhead 	Double Containment
Slurry Facilities 	None
Slurry Loop Line 	No
Slurry Loop Line A 	Slurry (PL1, PL2, PL3)
Slurry Loop Line B 	Optional
Slurry Loop Line C 	Optional
Slurry Dispense Arm 	Standard Length, Platen1~3
  	High Pressure Rinse
Slurry Leak Detector 	Yes
Cleaner Plumbing 	Not Applicable
DI Water 	Standard
Slurry Tube 	Yes
Slurry Filter &amp; Housing 	Optional
Slip Out Sensor Slurry Cover Per Head 	Yes
FACILITIES OPERATIONS
EMO Guard Ring 	Yes
EMO IO 	No
System Labels 	English
System User Labels 	English
LOTO Box 	No
Smoke Detector 	Yes
Polisher Slurry Leak Sensor 	Yes
Electrical Requirements 	Selected Option
Line Frequency 	50 HZ
Line Voltage 	200/208 VAC
Uninterruptible Power Supply 	None
Power Lamp 	Green Lamp
Power Connected Lamp 	No
Circuit Breaker 	200A
Controller Top Panel 	Holes Punched Out for AC Power Cables Entry
Configurable IO 	No
GFI Type 	Standard 30mA
Isolation Transformer 	No
Umbilical's 	Selected Option
CAT Track Style 	Water Fall
Polisher to Controller Cable 	Standard
Controller to Monitor Cable 	Standard 30 ft
Slurry System Interface Cable 	None
Factory Hookup 	Selected Option
Upper Exhaust 	Standard
Upper Exhaust Material 	Stainless Steel
Lower Exhaust 	None
Process Exhaust Vent Interlock Sensor 	Yes
Upper Exhaust Connection 	No Flange
Drain Manifold 	Options:
1 Line or 4 Lines to Facilities
Drain Adapter 	NPT Fittings
Internal Vacuum Venturi 	Yes
OPERATOR INTERFACE OPTIONS
Operating Hardware &amp; Software 	Selected Option
Hard disk 	Dual Harddisk
Memory 	128M or above
CPU 	PIII CPU or above
Fabs Software 	Fabs Daemon 1.35
Operating System 	Windows NT 4.00.1381 or above
Software Version 	MB60a1 or above
Endpoint 	IB11h8
Cleaner Software 	2.3.8
User Interface 	Selected Option
Monitor Selection 	1 FPD
Monitor 1 Location 	Front FPD On Cart
Mouse or Trackball 	Mouse (include keyboard)
Start Stop Button 	Controller
Light Towers Selection 	Polisher and Controller
Polisher Light Tower 	Selected Option
Polisher Tower Mounting Type 	Pole Mounted
Polisher Tower No of Colors 	3 Color
Polisher Tower Lamp Type 	Incandescent
Polisher Tower Colors Sequence 	RYG
Controller Light Tower 	Selected Option
Controller Tower Mounting Type 	Pole Mounted
Controller Tower No of Colors 	3 Color
Controller Tower Lamp Type 	Incandescent
Controller Colors Sequence 	RYG
Cleaner Options 	Selected Option
Ontrak Cleaner 	Yes
Touch Screen 	Yes
Controller Box 	Yes
Input Station 	Yes
Brush 1 Station 	Yes
Brush 2 Station 	Yes
Spin Station 	Yes
Megasonics 	No
Leak Detector 	Yes
Roller &amp; Brush Rotation Detector 	Yes</t>
  </si>
  <si>
    <t xml:space="preserve">96538</t>
  </si>
  <si>
    <t xml:space="preserve">THIS EQUIPMENT IS AVAILABLE IN COMPLETELY REFURBISHED CONDITION, RE-BUILT 
TO YOUR REQUIRED SPECIFICATION.
EQUIPMENT DETAILS:
-  Wafer Size (inches) : 8
-  Install Type : Through-the-wall
-  Year of Manufacture: 1999
-  Software Version : MB60A1
-  CPU Board Type : Pentium 3      400MHz or Higher : Yes
-  Electrical Requirements : 200/208VAC
-  Process Type: Polysilicon
-  Mainframe: Mirra Track
o Dry In/Dry Out
o Signal Lamp Tower
o Integrated SMIF (qty 3 loaders)
o Cassette Tank : Standard
o Robot Type : 112”
o Cleaner Type : Ontrak
o Cleaner Chemicals Used : NH4OH
o E-Chain Lifetime : Since installation
o Cleaning Package : No
o Spray Gun : Single
o In-Situ Removal Rate Monitor : Motor Torque
o Metrology Option : None
o IPM : No
-  Mirra Polish Heads
o Titan 1 Polish Heads
o PPS Retaining Rings
o Standard Wafer Loss Sensor
-  Mirra Platens
o Teflon Coated Platens : No
o Pad Type : IC 1000
o Pad Conditioner Head : P4 Intel
o Pad Conditioner Disc : EWHA  
o Universal Disk Holder : No
o Temperature Control : None
-  Slurrieso Slurries/Platen Used : 1
o Chemicals Used : Oxide Slurry
o Flow Rate : Standard  
o Dispense Arm : Standard  
o Slurry Flow Monitors : Yes</t>
  </si>
  <si>
    <t xml:space="preserve">102100</t>
  </si>
  <si>
    <t xml:space="preserve">NanoSEM 3D</t>
  </si>
  <si>
    <t xml:space="preserve">CD Metrology</t>
  </si>
  <si>
    <t xml:space="preserve">102101</t>
  </si>
  <si>
    <t xml:space="preserve">102102</t>
  </si>
  <si>
    <t xml:space="preserve">CD-SEM</t>
  </si>
  <si>
    <t xml:space="preserve">102103</t>
  </si>
  <si>
    <t xml:space="preserve">Scanning Electron, CDSEM Measurement</t>
  </si>
  <si>
    <t xml:space="preserve">102104</t>
  </si>
  <si>
    <t xml:space="preserve">102105</t>
  </si>
  <si>
    <t xml:space="preserve">102106</t>
  </si>
  <si>
    <t xml:space="preserve">Olympia</t>
  </si>
  <si>
    <t xml:space="preserve">SiN, LowK, ALD</t>
  </si>
  <si>
    <t xml:space="preserve">92429</t>
  </si>
  <si>
    <t xml:space="preserve">P5000</t>
  </si>
  <si>
    <t xml:space="preserve">91286</t>
  </si>
  <si>
    <t xml:space="preserve">DELTA DLH</t>
  </si>
  <si>
    <t xml:space="preserve">91287</t>
  </si>
  <si>
    <t xml:space="preserve">102107</t>
  </si>
  <si>
    <t xml:space="preserve">LTO CVD, TEOS</t>
  </si>
  <si>
    <t xml:space="preserve">101728</t>
  </si>
  <si>
    <t xml:space="preserve">101729</t>
  </si>
  <si>
    <t xml:space="preserve">101730</t>
  </si>
  <si>
    <t xml:space="preserve">91174</t>
  </si>
  <si>
    <t xml:space="preserve">102857</t>
  </si>
  <si>
    <t xml:space="preserve">PECVD TEOS with 3 x SACVD chambers</t>
  </si>
  <si>
    <t xml:space="preserve">3 SA BPSG Chambers (TEOS)</t>
  </si>
  <si>
    <t xml:space="preserve">102108</t>
  </si>
  <si>
    <t xml:space="preserve">TEOS</t>
  </si>
  <si>
    <t xml:space="preserve">93051</t>
  </si>
  <si>
    <t xml:space="preserve">WXL</t>
  </si>
  <si>
    <t xml:space="preserve">91173</t>
  </si>
  <si>
    <t xml:space="preserve">WXZ</t>
  </si>
  <si>
    <t xml:space="preserve">93052</t>
  </si>
  <si>
    <t xml:space="preserve">91171</t>
  </si>
  <si>
    <t xml:space="preserve">WXZ 1ch, sputter 1ch</t>
  </si>
  <si>
    <t xml:space="preserve">91175</t>
  </si>
  <si>
    <t xml:space="preserve">91172</t>
  </si>
  <si>
    <t xml:space="preserve">WXZ 2ch, sputter 1ch</t>
  </si>
  <si>
    <t xml:space="preserve">91176</t>
  </si>
  <si>
    <t xml:space="preserve">WXZ Mark II</t>
  </si>
  <si>
    <t xml:space="preserve">102998</t>
  </si>
  <si>
    <t xml:space="preserve">P5000 </t>
  </si>
  <si>
    <t xml:space="preserve">Teos Deposition Tool, Oxide Etch, 3 Chambers</t>
  </si>
  <si>
    <t xml:space="preserve">100 mm</t>
  </si>
  <si>
    <t xml:space="preserve">102997</t>
  </si>
  <si>
    <t xml:space="preserve">Two MxP Etch Chambers, One PECVD Nitride Chamber</t>
  </si>
  <si>
    <t xml:space="preserve">Two MxP Etch Chambers, One PECVD Nitride Chamber. Phase III handling 
system. 28-line onboard gas panel. Integrated endpoint system with 2 
monochromators. Currently configured for 100mm wafers.</t>
  </si>
  <si>
    <t xml:space="preserve">91182</t>
  </si>
  <si>
    <t xml:space="preserve">P5000 CVD</t>
  </si>
  <si>
    <t xml:space="preserve">Delta Teos</t>
  </si>
  <si>
    <t xml:space="preserve">91184</t>
  </si>
  <si>
    <t xml:space="preserve">91181</t>
  </si>
  <si>
    <t xml:space="preserve">Delta TEOS 3ch + Sputter 1Ch</t>
  </si>
  <si>
    <t xml:space="preserve">91187</t>
  </si>
  <si>
    <t xml:space="preserve">Delta Teos 3ch, Etch 1ch</t>
  </si>
  <si>
    <t xml:space="preserve">91188</t>
  </si>
  <si>
    <t xml:space="preserve">Delta Teos 3ch, sputter 1ch</t>
  </si>
  <si>
    <t xml:space="preserve">91185</t>
  </si>
  <si>
    <t xml:space="preserve">DxL</t>
  </si>
  <si>
    <t xml:space="preserve">91189</t>
  </si>
  <si>
    <t xml:space="preserve">DxL </t>
  </si>
  <si>
    <t xml:space="preserve">91190</t>
  </si>
  <si>
    <t xml:space="preserve">91183</t>
  </si>
  <si>
    <t xml:space="preserve">TEOS, DxL</t>
  </si>
  <si>
    <t xml:space="preserve">91307</t>
  </si>
  <si>
    <t xml:space="preserve">P5000 Etch</t>
  </si>
  <si>
    <t xml:space="preserve">Mark II Metal</t>
  </si>
  <si>
    <t xml:space="preserve">91289</t>
  </si>
  <si>
    <t xml:space="preserve">Mark II OXIDE</t>
  </si>
  <si>
    <t xml:space="preserve">91288</t>
  </si>
  <si>
    <t xml:space="preserve">Mark II Poly</t>
  </si>
  <si>
    <t xml:space="preserve">93036</t>
  </si>
  <si>
    <t xml:space="preserve">no chamber (PLIS type)</t>
  </si>
  <si>
    <t xml:space="preserve">N/a</t>
  </si>
  <si>
    <t xml:space="preserve">91308</t>
  </si>
  <si>
    <t xml:space="preserve">P5000 Mark II Etch </t>
  </si>
  <si>
    <t xml:space="preserve">Oxide</t>
  </si>
  <si>
    <t xml:space="preserve">91194</t>
  </si>
  <si>
    <t xml:space="preserve">P5000 Mark-II CVD</t>
  </si>
  <si>
    <t xml:space="preserve">91191</t>
  </si>
  <si>
    <t xml:space="preserve">DxL Nitride  </t>
  </si>
  <si>
    <t xml:space="preserve">91192</t>
  </si>
  <si>
    <t xml:space="preserve">91193</t>
  </si>
  <si>
    <t xml:space="preserve">91195</t>
  </si>
  <si>
    <t xml:space="preserve">91198</t>
  </si>
  <si>
    <t xml:space="preserve">P5000 Mark-II CVD+Etch</t>
  </si>
  <si>
    <t xml:space="preserve">Delta TEOS 3Ch, Etch 1ch</t>
  </si>
  <si>
    <t xml:space="preserve">91197</t>
  </si>
  <si>
    <t xml:space="preserve">SACVD Delta TEOS 3Ch, Etch 1ch</t>
  </si>
  <si>
    <t xml:space="preserve">91196</t>
  </si>
  <si>
    <t xml:space="preserve">Sputter</t>
  </si>
  <si>
    <t xml:space="preserve">91199</t>
  </si>
  <si>
    <t xml:space="preserve">TEOS 2Ch, Etch 2Ch</t>
  </si>
  <si>
    <t xml:space="preserve">91200</t>
  </si>
  <si>
    <t xml:space="preserve">TEOS 2Ch, Sputter 2Ch</t>
  </si>
  <si>
    <t xml:space="preserve">91201</t>
  </si>
  <si>
    <t xml:space="preserve">91311</t>
  </si>
  <si>
    <t xml:space="preserve">P5000 Mark-II Etch </t>
  </si>
  <si>
    <t xml:space="preserve">98026</t>
  </si>
  <si>
    <t xml:space="preserve">P5000 MxP Poly</t>
  </si>
  <si>
    <t xml:space="preserve">87897</t>
  </si>
  <si>
    <t xml:space="preserve">P5000 SACVD</t>
  </si>
  <si>
    <t xml:space="preserve">91203</t>
  </si>
  <si>
    <t xml:space="preserve">Delta </t>
  </si>
  <si>
    <t xml:space="preserve">91202</t>
  </si>
  <si>
    <t xml:space="preserve">Delta TEOS sacvd 3ch + Sputter 1Ch</t>
  </si>
  <si>
    <t xml:space="preserve">De-installed, warehoused. Can be inspected by appointment.
The configuration of the tool is that it has 4 chambers. There are qty 3 
Delta TEOS chambers and one sputter chamber.
Please refer to the attached photos for details of the configuration.</t>
  </si>
  <si>
    <t xml:space="preserve">91204</t>
  </si>
  <si>
    <t xml:space="preserve">P5000 WCVD</t>
  </si>
  <si>
    <t xml:space="preserve">WxL</t>
  </si>
  <si>
    <t xml:space="preserve">91205</t>
  </si>
  <si>
    <t xml:space="preserve">91206</t>
  </si>
  <si>
    <t xml:space="preserve">91207</t>
  </si>
  <si>
    <t xml:space="preserve">WxZ Metal</t>
  </si>
  <si>
    <t xml:space="preserve">91313</t>
  </si>
  <si>
    <t xml:space="preserve">P5000-Mark II Etch</t>
  </si>
  <si>
    <t xml:space="preserve">Metal</t>
  </si>
  <si>
    <t xml:space="preserve">103064</t>
  </si>
  <si>
    <t xml:space="preserve">Producer Etch XT Dielectric</t>
  </si>
  <si>
    <t xml:space="preserve">Dielectric Dry Etch</t>
  </si>
  <si>
    <t xml:space="preserve">Tool is in service in clean room.</t>
  </si>
  <si>
    <t xml:space="preserve">103063</t>
  </si>
  <si>
    <t xml:space="preserve">Dielectric Dry Etch CHA Twin Di-electric etch, CHC Twin Di-electric etch</t>
  </si>
  <si>
    <t xml:space="preserve">Mainframe Type: Platform:Producer eXT MF - SW Version:B3.1_65 - - Server 
Type - FE:306M - FI:306M - RT:SBC - - Chamber Type - A:Twin-�(EO2) 
DIELECTRIC ETCH TWIN XT - C:Twin-�(EO2) DIELECTRIC ETCH TWIN XT - - 
Application (Process):Oxdie - FI robot Type:YASKAWA AT - Robot P/N: 
0190-14738 - Controller P/N: 0190-27387 - Robot Type:VXP - 
Materials:Aluminum - Robot P/N:0010-30160 - Controller P/N:0190-10119 / 
0190-10118 -</t>
  </si>
  <si>
    <t xml:space="preserve">100346</t>
  </si>
  <si>
    <t xml:space="preserve">Producer GT</t>
  </si>
  <si>
    <t xml:space="preserve">CVD - 3 Twin chamber - HARP USG Process</t>
  </si>
  <si>
    <t xml:space="preserve">De-installed, warehoused. Inspection is available by appointment.
For details regarding the system condition, please refer to the attached 
photos.
Configuration:-
The original configuration is shown below.
Two of the chambers and all their associated equipment will be removed, 
leaving the main frame with one chamber fitted.
Conditions of the sale: Payment to be received within 11th August 2020.
Tool Configuration Worksheet (Applied Materials Producer)
General Information
Platform 	Producer GT 	Serial Number 	  	Tool Name 	 
Wafer Size 	300mm 	Wafer Shape 	unknown 	Number of Loadports 	4
Chamber A Type 	SACVD Twin 	Chamber A Process 	HARP USG 	Loadports Type 	
unknown
Chamber B Type 	SACVD Twin 	Chamber B Process 	HARP USG 	Factory Interface 
Model 	5.4
Chamber C Type 	SACVD Twin 	Chamber C Process 	HARP USG 	AMHS Configuration 	
OHT
Computers and Software
FE Computer Type 	FES 	FI Computer Type 	FIS 	RT Computer Type 	CL7
FE Operating System 	unknown 	FI Operating System 	unknown 	RT Operating 
System 	unknown
  	  	FI Software Version 	unknown 	RT Software Version 	unknown
Any other computer or software included 	 
Misc Hardware
FI Robot Type 	Kawasaki Track 	FI Robot Blade Type 	Aluminum 	LCF or Wafer 
Detect 	LCF
Buffer Robot Type 	GT 	Buffer Robot Blade Type 	Ceramic 	Roll-Around 
Monitors 	2
Remote AC 	208V 	Remote UPS 	unknown 	Ozone Cabinet 	INUSA
Heat Exchanger 1 	Unisem 	Chamber A Rough Pump 	unknown 	Number of Ozone 
Generators 	3 MKS
Heat Exchanger 2 	  	Chamber B Rough Pump 	unknown 	Ozone Chiller 	none
Heat Exchanger 3 	  	Chamber C Rough Pump 	unknown 	Chemical Delivery 
Cabinets 	none
Heat Exchanger 4 	  	MF Rough Pump 	unknown 	Thermal Process Unit (TPU) 	
none
Process Chamber Data
  	Chamber A 	Chamber B 	Chamber C 	Notes
RPS Type 	6 Litre 	6 Litre 	6 Litre 	 
Heater Type or Part Number 	vacuum chuck 	vacuum chuck 	vacuum chuck 	 
RF Generator 1 Type 	NA 	NA 	NA 	 
RF Generator 2 Type 	NA 	NA 	NA 	 
Faceplate Part Number 	unknown 	unknown 	unknown 	 
Blocker Plate Part Number 	unknown 	unknown 	unknown 	 
Process Kit Type 	HARP kit 	HARP Kit 	HARP kit 	 
Gas Panel Configurations
Gas Box Type 	1-1/8 C-Seal SurfaceMount 	1-1/8 C-Seal SurfaceMount 	  	 
Stick 1 	NF3 - 15000sccm 	NF3 - 15000sccm 	NF3 - 15000sccm 	 
Stick 2 	AR - 15000sccm 	AR - 15000sccm 	AR - 15000sccm 	 
Stick 3 	N2 - 5000sccm 	N2 - 5000sccm 	N2 - 5000sccm 	 
Stick 4 	N2 - 50000sccm 	N2 - 50000sccm 	N2 - 50000sccm 	 
Stick 5 	He - 30000sccm 	He - 30000sccm 	He - 30000sccm 	 
Stick 6 	  	 
Stick 7 	  	  	  	 
Stick 8 	  	  	  	 
Stick 9 	  	  	  	 
Stick 10 	  	  	  	 
Stick 11 	  	  	  	 
Stick 12 	  	  	  	 
Stick 13 	  	  	  	 
Stick 14 	  	  	  	 
Stick 15 	  	  	  	 
Stick 16 	  	  	  	 
Liquid 1 	TEOS - 7g/min 	TEOS - 7g/min 	TEOS - 7g/min 	 
Liquid 2 	  	  	  	 
Liquid 3 	  	  	  	 
 </t>
  </si>
  <si>
    <t xml:space="preserve">100915</t>
  </si>
  <si>
    <t xml:space="preserve">PRODUCER GT</t>
  </si>
  <si>
    <t xml:space="preserve">CVD System</t>
  </si>
  <si>
    <t xml:space="preserve">97220</t>
  </si>
  <si>
    <t xml:space="preserve">93037</t>
  </si>
  <si>
    <t xml:space="preserve">Fox/eHarp</t>
  </si>
  <si>
    <t xml:space="preserve">102111</t>
  </si>
  <si>
    <t xml:space="preserve">FRONTIER etch</t>
  </si>
  <si>
    <t xml:space="preserve">102112</t>
  </si>
  <si>
    <t xml:space="preserve">102114</t>
  </si>
  <si>
    <t xml:space="preserve">102113</t>
  </si>
  <si>
    <t xml:space="preserve">FRONTIER Nitride Poly etch</t>
  </si>
  <si>
    <t xml:space="preserve">93053</t>
  </si>
  <si>
    <t xml:space="preserve">LLTO</t>
  </si>
  <si>
    <t xml:space="preserve">93108</t>
  </si>
  <si>
    <t xml:space="preserve">UV Bake Photostabilizer </t>
  </si>
  <si>
    <t xml:space="preserve">93109</t>
  </si>
  <si>
    <t xml:space="preserve">93110</t>
  </si>
  <si>
    <t xml:space="preserve">102115</t>
  </si>
  <si>
    <t xml:space="preserve">Producer GT Chamber</t>
  </si>
  <si>
    <t xml:space="preserve">ACL</t>
  </si>
  <si>
    <t xml:space="preserve">102116</t>
  </si>
  <si>
    <t xml:space="preserve">CVD, BloK, CVD</t>
  </si>
  <si>
    <t xml:space="preserve">91208</t>
  </si>
  <si>
    <t xml:space="preserve">Producer GT Chamber (A)</t>
  </si>
  <si>
    <t xml:space="preserve">SICONI Chamber only</t>
  </si>
  <si>
    <t xml:space="preserve">91209</t>
  </si>
  <si>
    <t xml:space="preserve">Producer GT Chamber (B)</t>
  </si>
  <si>
    <t xml:space="preserve">91210</t>
  </si>
  <si>
    <t xml:space="preserve">Producer GT Chamber (C)</t>
  </si>
  <si>
    <t xml:space="preserve">De-installed, warehoused. Can be inspected by appointment.
Please check pictures below for more information.</t>
  </si>
  <si>
    <t xml:space="preserve">91211</t>
  </si>
  <si>
    <t xml:space="preserve">Producer SE</t>
  </si>
  <si>
    <t xml:space="preserve">BPSG  Server OS Type</t>
  </si>
  <si>
    <t xml:space="preserve">102119</t>
  </si>
  <si>
    <t xml:space="preserve">HT-SiN</t>
  </si>
  <si>
    <t xml:space="preserve">102118</t>
  </si>
  <si>
    <t xml:space="preserve">PETEOS</t>
  </si>
  <si>
    <t xml:space="preserve">102120</t>
  </si>
  <si>
    <t xml:space="preserve">91213</t>
  </si>
  <si>
    <t xml:space="preserve">SILANE Server OS Type</t>
  </si>
  <si>
    <t xml:space="preserve">91212</t>
  </si>
  <si>
    <t xml:space="preserve">TEOS </t>
  </si>
  <si>
    <t xml:space="preserve">300 mm 3 chambers</t>
  </si>
  <si>
    <t xml:space="preserve">100916</t>
  </si>
  <si>
    <t xml:space="preserve">PRODUCER SE (3-Twin)</t>
  </si>
  <si>
    <t xml:space="preserve">HARP-USG CVD</t>
  </si>
  <si>
    <t xml:space="preserve">102121</t>
  </si>
  <si>
    <t xml:space="preserve">Producer SE (Parts)</t>
  </si>
  <si>
    <t xml:space="preserve">E-FEM and loadlock chamber only</t>
  </si>
  <si>
    <t xml:space="preserve">102122</t>
  </si>
  <si>
    <t xml:space="preserve">Producer SE Chamber</t>
  </si>
  <si>
    <t xml:space="preserve">CVD deposition</t>
  </si>
  <si>
    <t xml:space="preserve">102123</t>
  </si>
  <si>
    <t xml:space="preserve">102124</t>
  </si>
  <si>
    <t xml:space="preserve">102125</t>
  </si>
  <si>
    <t xml:space="preserve">U-LowK Dielectric</t>
  </si>
  <si>
    <t xml:space="preserve">98825</t>
  </si>
  <si>
    <t xml:space="preserve">PRODUCER-GT</t>
  </si>
  <si>
    <t xml:space="preserve">101537</t>
  </si>
  <si>
    <t xml:space="preserve">PRODUCER-SE</t>
  </si>
  <si>
    <t xml:space="preserve">103053</t>
  </si>
  <si>
    <t xml:space="preserve">Quantum X</t>
  </si>
  <si>
    <t xml:space="preserve">796</t>
  </si>
  <si>
    <t xml:space="preserve">TRUNCATED: Material Number 	Description 	Product 	STOCK ON HAND
0010-90699 	ASSY RESISTOR STRING 	IMPLANT 	6
0010-91107 	ASSY MAG TURBO BACK'G VALVE 	IMPLANT 	1
0010-91164 	.36T CLAMP ASSY. R.H. 	IMPLANT 	1
0010-91387 	ASSY,MAGNET TURBO PURGE VALVE 	IMPLANT 	1
0010-91852 	LATCH ROLLER ASSY (SHORT) 	IMPLANT 	4
0010-92125 	ASSY,MVG CLP 100/0 DEG 	IMPLANT 	4
0010-92146 	ROLLER-SPRING ASSY 	IMPLANT 	2
0010-92235 	SPRING ROLLER 	IMPLANT 	2
0010-92484 	CASSETTE TRAY 125MM 'S' 	IMPLANT 	2
0010-92536ITL 	ASSY DEDICATED CASSETTE (300) 	IMPLANT 	1
0010-93284 	MVG CLP ASSY,125-150,0 DEG SPL 	IMPLANT 	1
0010-99113ITL 	ASSY. HOLLOW GR. 200MM -LOW C 	IMPLANT 	1
0015-01321 	VANE SWITCH MODIFIED 	IMPLANT 	2
0015-01587 	VACUUM SWITCH MODIFIED 	IMPLANT 	1
0015-02152 	LP BELLOWS VALVE MODIFIED 	IMPLANT 	1
0015-02272 	MODIFIED PCB ASSEMBLY 	IMPLANT 	2
0015-02910 	FEEDTHROUGH,4 PIN,KF40 GOLD PL 	IMPLANT 	6
0015-90022 	VALVE,MODIFIED,LOW PRESSURE 	IMPLANT 	1
0015-90077 	PRESSURE SWITCH,WIRED 	IMPLANT 	1
0020-04695 	REAR HOUSING, BEAMSTOP 	IMPLANT 	1
0020-06006 	APERTURE, PFS 	IMPLANT 	2
0020-06071 	GUIDE PLATE, LEFT 	IMPLANT 	2
0020-06072 	GUIDE PLATE, RIGHT 	IMPLANT 	3
0020-08945 	UNION,1" BSP FEMALE 	IMPLANT 	1
0020-12596 	GRIP SENSOR - FOOT 	IMPLANT 	2
0020-12612 	GUIDE BRG-SHOULDER SCREW(M4) 	IMPLANT 	1
0020-12613 	ROTATION WHEEL 	IMPLANT 	1
0020-13821 	INSULATING FLANGE....... 	IMPLANT 	1
0020-18347 	ELECTRODE, GROUND - NEW EXTRN 	IMPLANT 	75
0020-22826 	BASE MOTOR ADJUSTER 	IMPLANT 	1
0020-25182 	MOTOR CARRIER 	IMPLANT 	1
0020-26064 	G3/G4 MOUNTING GRD ELECTRODE 	IMPLANT 	2
0020-28330 	COVER, FILAMENT 	IMPLANT 	139
0020-29358 	FRONTPLATE, L/H, R650,ZEE-2 	IMPLANT 	27
0020-29364 	FRONTPLATE, R/H, R650,ZEE-2 	IMPLANT 	30
0020-29370 	ELECTRODE, GROUND G4 ZEE-2 	IMPLANT 	5
0020-29383 	FRONTPLATE,R/H,R550,Q2,ZEE-2 	IMPLANT 	22
0020-29389 	FRONTPLATE,L/H,R550,Q2,ZEE-2 	IMPLANT 	45
0020-29478 	BRACKET, LIN. POT, X AXIS 	IMPLANT 	2
0020-29492 	HOUSING, BEARING Z AXIS 	IMPLANT 	2
0020-29748 	ELECTRODE COVER, Q2 EXTRACTION 	IMPLANT 	1
0020-41505 	ANTI-CATHODE, ENH, TUNGSTEN 	IMPLANT 	3
0020-42096 	FRONTPLATE L/H 1.5X55 TUNGSTEN 	IMPLANT 	5
0020-44862 	PIN SWIVEL - UPPER 	IMPLANT 	4
0020-47759 	PANEL TOP CLOSURE 	IMPLANT 	1
0020-47828 	GROUNDSHIELD 	IMPLANT 	1
0020-48228 	BLANK, PROCESS CHAMBER 	IMPLANT 	1
0020-48523 	INSULATING FLANGE - PFS QX 	IMPLANT 	3
0020-48526 	APERTURE PLATE -HD PFS QX 	IMPLANT 	21
0020-48721 	FILAMENT SHIELD 	IMPLANT 	5
0020-48830 	ELECTRODE,SUPPRESSION-(G3)R150 	IMPLANT 	29
0020-48831 	WINDOW,BEAM ALIGN.SENSOR 	IMPLANT 	2
0020-49462 	MANIFOLD 3/8" BSP X 3 X 1/4" B 	IMPLANT 	1
0020-52644 	SLEEVE, BRAKE CYLINDER 	IMPLANT 	4
0020-52654 	SCREW, SHOULDER, BRAKE LEVER 	IMPLANT 	1
0020-52705 	FEEDTHROUGH INSULATOR 	IMPLANT 	1
0020-53153 	FILAMENT CLAMP, L/H 	IMPLANT 	1
0020-53948 	INSULATOR, E-CHUCK CONTACT 	IMPLANT 	3
0020-61512 	FLAG E-CHUCK ALIGNMENT 	IMPLANT 	1
0020-61991 	COVER HOUSING WAFER HEAD 300mm 	IMPLANT 	1
0020-62058 	FLAG E-CHUCK ALIGNMENT (300mm) 	IMPLANT 	2
0020-63350 	PLENUM SHIELD GRAPHITE 	IMPLANT 	8
0020-63457 	INSULATOR,HEAT XCHNGR,ISPM 	IMPLANT 	8
0020-63507 	LINER, TOP, L.H. 	IMPLANT 	1
0020-63813 	SCREW, E-CHUCK CNTR LONG 	IMPLANT 	1
0020-63915 	BLADE, X Y EDGE 300mm WAFER HD 	IMPLANT 	1
0020-70586 	CLAMP, WAFER HEAD TO X-SHAFT 	IMPLANT 	1
0020-75714 	SPUTTER SHIELD,LOWER 	IMPLANT 	2
0020-80002 	COVER, INSULATOR 	IMPLANT 	2
0020-80014 	MOUNTING, PRE-DEF. APERTURE 	IMPLANT 	2
0020-80044 	BUSH FILAMENT LOCATION 	IMPLANT 	2
0020-80073 	SUPPRESSION ELECTRODE GP 	IMPLANT 	4
0020-80431 	KEEP PLATE-BOTTOM 	IMPLANT 	1
0020-80682 	PA Electrodes/EH4 	IMPLANT 	1
0020-81055 	BOARD,STUD 	IMPLANT 	4
0020-81075 	GASKET,HEATSING-100 MM INSERT 	IMPLANT 	23
0020-81362 	LINER, SIDE, (SIDE VENT) 	IMPLANT 	1
0020-81408 	MOUNTING PILLAR 	IMPLANT 	2
0020-81446 	SCREW,H/SINK,M10. 	IMPLANT 	9
0020-81685 	SEALING NUT,ANTIMONY 	IMPLANT 	2
0020-81764 	RING, CLAMP LED 	IMPLANT 	1
0020-81812 	BRACKET 1,WOHS. 	IMPLANT 	2
0020-81900 	PIN,BEARING 	IMPLANT 	15
0020-81979 	SHAFT, DRIVE 200 	IMPLANT 	1
0020-82231 	WEIGHT, LEVER 200MM - 0 DEG. 	IMPLANT 	4
0020-82324 	ELECTRODE, EH4 (GRAPHITE ) 	IMPLANT 	1
0020-82325 	MOUNTING, EH3 (GRAPHITE) 	IMPLANT 	3
0020-82519 	SEALING NUT, (ANTIMONY) MK2 	IMPLANT 	12
0020-82650 	FOOT,LEYBOLD TURBO 	IMPLANT 	4
0020-82771 	ADAPTOR,CRYO EXHAUST 	IMPLANT 	2
0020-82804 	ELECTRODE, SUPPRESSION 	IMPLANT 	3
0020-82811 	POST MRS SLIT 	IMPLANT 	1
0020-82869 	IN, HOLLOW LOCATION 	IMPLANT 	47
0020-83149 	DISC, SHIELD-MOVING CLIP 	IMPLANT 	16
0020-83211 	DISC,SHIELD MVG CLIP 	IMPLANT 	1
0020-83236 	WEIGHT LEVER, MVG CLIP 150mm 	IMPLANT 	7
0020-83330 	DISC, 150MM 	IMPLANT 	1
0020-83360 	MOUNT, CYLINDER 	IMPLANT 	1
0020-83407 	PIN WAFER GRIP, PEEK 	IMPLANT 	84
0020-83569 	SCREEN,SIDE (ENTRY TUBE) 	IMPLANT 	2
0020-83591 	FEED THRO 	IMPLANT 	1
0020-83979 	WAFER STOP,ORIENTOR LH,125 	IMPLANT 	1
0020-84059 	CLAMP RING 	IMPLANT 	1
0020-84081 	RACK,SPACING 150MM (GENERIC) 	IMPLANT 	4
0020-84439 	RING, DRIVE 150mm 	IMPLANT 	4
0020-84624 	HOLLOW GRIPPER EXTENDED FINGER 	IMPLANT 	2
0020-84703 	DUAL LE ELECTRODE G3 	IMPLANT 	58
0020-84709 	DUAL LE ELECTRODE G4 	IMPLANT 	59
0020-84781 	THERMAL SENSOR PAD 	IMPLANT 	4
0020-84894 	SUPPORT,ARC CHAMBER,UPPER 	IMPLANT 	2
0020-85024 	FLANGE,CHAMBER SEALING 	IMPLANT 	1
0020-85111 	REFLECTOR 	IMPLANT 	2
0020-85158 	PIN BEARING 	IMPLANT 	2
0020-85230 	LINER, BASE 6 SLOT (SIDE VENT) 	IMPLANT 	1
0020-85321 	GUIDE TUBE PLATE SOURCE PFS 	IMPLANT 	1
0020-85417 	SHIELD PLATE 	IMPLANT 	6
0020-85535 	ARC CHMBR, REMOTE INSULATD PFS 	IMPLANT 	1
0020-85878 	FIXED CLIP,200MM,0 DEG 	IMPLANT 	20
0020-85928 	FLAG. X-Y SENSOR - 200 CIP 	IMPLANT 	10
0020-85952 	SHIELD, CONICAL - MVG CLIP 	IMPLANT 	5
0020-85958 	PIN GRIP WAFER 	IMPLANT 	11
0020-86032 	FILAMENT PSU COVER 	IMPLANT 	4
0020-86625 	'STANDBY'SWITCH MODS (ORANGE) 	IMPLANT 	1
0020-86830 	BRACKET, PADLOCK 	IMPLANT 	1
0020-86946 	WEIGHT, LEVER - 200 CIP 	IMPLANT 	10
0020-87407 	F.W.I FLAG 200MM 	IMPLANT 	2
0020-87864 	FLAG SENSOR F.W.I (300mm) 	IMPLANT 	1
0020-89033 	CLAMP,PLATE 	IMPLANT 	14
0020-89112 	STRIP INSULATION TOP 	IMPLANT 	1
0020-89133 	FLAG FWI 200MM (NON 0040-96525 	IMPLANT 	18
0020-89185 	SENSOR COMB EXTENDED 	IMPLANT 	4
0020-90216 	COVER,UPPER,VWH 	IMPLANT 	2
0020-90266 	PANEL SWITCH FACIA 	IMPLANT 	3
0020-90269 	IDLER 80 OD 55 WIDE 	IMPLANT 	1
0020-90270 	SPACER 18MM OD X 12.4MM ID 	IMPLANT 	2
0020-90276 	BOSS ADAPTER 	IMPLANT 	1
0020-90288 	BUSH GUIDE-ISOLATION VALVE 	IMPLANT 	2
0020-90421 	INSULATOR 1 	IMPLANT 	1
0020-90643 	*ELECTRODE DECELERATION 	IMPLANT 	6
0020-90648 	WEIGHT BALANCE 	IMPLANT 	3
0020-90730 	*REFLECTOR ELECTRON 	IMPLANT 	21
0020-90731 	PLATE TOP 	IMPLANT 	14
0020-90743 	NUT M3 SPECIAL 	IMPLANT 	33
0020-90744 	*STUD END CAP 	IMPLANT 	30
0020-90798 	GEAR POT 	IMPLANT 	4
0020-90931 	SCREW VAC CAP HD M5X16 SST 	IMPLANT 	24
0020-91444 	*SCREW VAC SKT CAP HD M8X25SST 	IMPLANT 	90
0020-91723 	SCREW, ADJUSTING 	IMPLANT 	2
0020-92029 	SCREW VAC C'SK HD M4x12 SST 	IMPLANT 	7
0020-92198 	PIN, LOCATING 	IMPLANT 	1
0020-92512 	SHIELD FLIGHT 	IMPLANT 	12
0020-92545 	BLOCK, ROLLER 	IMPLANT 	1
0020-92643 	INSERT E10 	IMPLANT 	1
0020-92706 	*COVER ARM(RESOLVING APERTURE) 	IMPLANT 	2
0020-92776 	MOUNTING MAGNET 	IMPLANT 	1
0020-92831 	001P, FIXED 150MM/7 	IMPLANT 	83
0020-92903 	WASHER,PACKING 	IMPLANT 	7
0020-92945 	CLEVIS BEARING 	IMPLANT 	4
0020-93042 	BLOCK DRIVE 	IMPLANT 	1
0020-93097 	SCREW VAC SKT CAP HD M3X30 	IMPLANT 	10
0020-93938 	FOCUS FEEDTHROUGH CONNECTOR 	IMPLANT 	1
0020-94071 	*INSRT H/SINK 100-0DEG COATED 	IMPLANT 	1
0020-94223 	APERTURES 	IMPLANT 	2
0020-94261 	ROD,LIFT 	IMPLANT 	2
0020-94445 	ANODE SLOTTED 	IMPLANT 	15
0020-94509 	CONNECTOR-BARREL 	IMPLANT 	8
0020-94837 	SCREW ARC CHAMBER 	IMPLANT 	45
0020-94847 	BLOCK FILAMENT 	IMPLANT 	23
0020-94852 	HEATSHIELD, NO.4 	IMPLANT 	1
0020-94853 	HEATSHIELD NO. 5 	IMPLANT 	2
0020-94856 	NOZZLE OVEN 	IMPLANT 	13
0020-94930 	PLATE FRONT 	IMPLANT 	30
0020-94940 	CHAMBER ARC(WITH GAS LEADIN) 	IMPLANT 	15
0020-94976 	WASHER BEARING 	IMPLANT 	6
0020-94981 	ELECTRODE,EXTRACTION 	IMPLANT 	5
0020-95123 	HEATSHIELD NO. 3 	IMPLANT 	3
0020-95142 	HOUSING PLUNGER 	IMPLANT 	2
0020-95238 	WASHER EXTRACTION ELECTRODES 	IMPLANT 	4
0020-95714 	INSERT H\SK 200-0DEG COAT MKS 	IMPLANT 	9
0020-95950 	FLAG, SENSOR FWI 	IMPLANT 	35
0020-96058 	FINGER GRIPPER, 150MM 	IMPLANT 	1
0020-96059 	GRIPPER FINGER, 150 EXT. 	IMPLANT 	1
0020-96115 	GRIPPER FINGER 100EXTEND 	IMPLANT 	1
0020-96176 	FLANGE CONNECTING 	IMPLANT 	2
0020-96457 	PLATE DETENT 	IMPLANT 	1
0020-96596ITL 	FLEXIBLE PIPE IDENT (A) 	IMPLANT 	1
0020-96597ITL 	FLEXIBLE PIPE IDENT (B) 	IMPLANT 	1
0020-96635 	ARM,COUNTERBALANCE,MOD. 	IMPLANT 	2
0020-97053 	SCREW GRAPHITE RETENTION NEW STYLE LINER 	IMPLANT 	3
0020-97239 	GEAR, POTENTIOMETER 	IMPLANT 	1
0020-97546 	BAR, SUPPRESSION 	IMPLANT 	7
0020-97603 	ADAPTER MOTOR SHAFT 	IMPLANT 	1
0020-98258 	INSERT,ELECT.E1,STANDARD. 	IMPLANT 	3
0020-98484 	INSERT,LARGE UPPER EXIT, 	IMPLANT 	5
0020-98689 	ROD SUPPORT HOUSING 	IMPLANT 	1
0020-98842 	JACKING BLOCK 	IMPLANT 	1
0020-98937 	INSERT FRONT PLATE,AN OPT FOR LOW ENERGY 	IMPLANT 	1
0020-98952 	APERTURE, EH6 (SiC) 	IMPLANT 	2
0020-98953 	FRONT PLATE,SIGMA SOURCE 	IMPLANT 	2
0020-98961 	SCREW,SPECIAL,M4X6 PAN HD.MOLY 	IMPLANT 	1
0020-98984 	GRIPPER FINGER 100 CONDUCTIVE 	IMPLANT 	4
0020-98991 	SHIELD, FEEDTHROUGH 	IMPLANT 	8
0020-99203 	ELECTRODE E7 	IMPLANT 	1
0020-99204 	ELECTRODE E8 	IMPLANT 	3
0020-99251 	APERTURE, PRE-DEF 32x38  REPLACES 0020-9 	IMPLANT 	2
0020-99371 	COVER CONNECTOR 	IMPLANT 	5
0020-99439 	BUSHING, SPECIAL REDUCING 	IMPLANT 	2
0021-26043 	GUIDE TUBE APERTURE - QX 	IMPLANT 	15
0021-26139 	GUIDE TUBE RHS (BLANK) - QX 	IMPLANT 	11
0021-27973 	LEFT COMB 300mm CASSETTE 	IMPLANT 	2
0021-28176 	PLENUM SHIELD MRS ENTRY PORT 	IMPLANT 	2
0021-31179 	CLAMP, FEEDTHROUGH CONDUCTOR 	IMPLANT 	4
0021-31605 	BAFFLE, COLLECTOR BOX - QXP 	IMPLANT 	3
0021-32487 	ELECTRODE, G2, R500mm 	IMPLANT 	37
0021-33329 	GUARD,FILAMENT,INSULATOR BUSH 	IMPLANT 	8
0021-40007 	G1,ELECTRODE 	IMPLANT 	46
0021-40022 	G1,ELECTRODE  CIP1 	IMPLANT 	54
0021-43361 	Electrode G3 LG 	IMPLANT 	11
0021-43362 	Electrode G4 LG 	IMPLANT 	13
0021-60713 	ELECTRODE G1 TAPERED 	IMPLANT 	7
0021-60731 	ELECTRODE G2 543MM RAD CONCENTRIC 	IMPLANT 	4
0021-90212 	MOUNT BRACKET, PFS 	IMPLANT 	2
0021-90997 	FRONT LEFT COMB 	IMPLANT 	6
0021-90998 	FRONT RIGHT COMB 	IMPLANT 	5
0040-01387 	H'SINK INS SHINETSU 125mm0-DEG 	IMPLANT 	7
0040-04261 	SRCE CHBR PART 	IMPLANT 	1
0040-07233 	TUBE ASSEMBLY 	IMPLANT 	1
0040-33905 	ST/STEEL BLN EXHAUST VERTICAL 	IMPLANT 	2
0040-41050 	PIPE,GAS EXTRACTION BLN PUMP 	IMPLANT 	4
0040-43040 	CONNECTOR STRAP ASSY 	IMPLANT 	3
0040-49084 	HEATSINK, INSERT SHINETSU 300 	IMPLANT 	48
0040-54058 	INSERT HEATSINK 125 0DEG NONCO 	IMPLANT 	6
0040-64576 	BUSH STANDOFF 	IMPLANT 	2
0040-76903 	MANIFOLD LINK (anamolous extra part) 	  	1
0040-79289 	SOURCE EXIT LINER 	IMPLANT 	5
0040-80145 	ARM,GRIPPER,UPPER 	IMPLANT 	1
0040-80688 	PIGTAIL 10L H2 0.1UM 	IMPLANT 	3
0040-81444 	SOURCE TO PURGE INTERLINK 	IMPLANT 	1
0040-81717 	PIGTAIL HELIUM AFNOR TYPE C 	IMPLANT 	2
0040-81911 	INLET MANIFOLD 	IMPLANT 	1
0040-81986 	SUPPORT PLATE - HD PFS QX 	IMPLANT 	2
0040-82551 	CRYO CONNECTION MANIFOLD 	IMPLANT 	1
0040-84228 	PIGTAIL, CGA/DISS642 	IMPLANT 	3
0040-84626 	WATER MANIFOLD REAR - SCANNER 	IMPLANT 	1
0040-85353 	MANIFOLD SECONDARY EXTRACT 	IMPLANT 	2
0040-85882 	PIGTAIL FLEXIBLE SUS12 	IMPLANT 	2
0040-88167 	LINER, REAR, L.H. UPPER 	IMPLANT 	1
0040-90324 	END PLATE, ASSY 	IMPLANT 	1
0040-90487 	LINEAR MOTION MODIFIED 	IMPLANT 	1
0040-90705 	BODY ACTUATOR 	IMPLANT 	1
0040-90907 	FLANGE,ANTI-ROTATION 	IMPLANT 	1
0040-91727 	STRAP ASSY ELECTRODE 	IMPLANT 	28
0040-92567 	SHOE PICK UP 100 	IMPLANT 	4
0040-92610 	MANIFOLD,CABINET,LINK 	IMPLANT 	1
0040-93254 	TOPCAN, SOURCE 	IMPLANT 	1
0040-93255 	TOPCAN, EXTRACTION 	IMPLANT 	3
0040-93448 	CLAMP ASSY,FILAMENT GUIDE, 	IMPLANT 	5
0040-93477 	FLIGHT TUBE FULL ACCESS 	IMPLANT 	4
0040-93503 	PANEL,CORNER 	IMPLANT 	1
0040-93728 	FILAMENT CLAMP (RIGHT HAND) 	IMPLANT 	1
0040-93732 	TUBE ASSY (H20 FEEDTHRU) 	IMPLANT 	1
0040-93832 	PIPE ASSY, ARGON 	IMPLANT 	2
0040-94187 	FILAMENT CLAMP,R/H,DIA 2.2 	IMPLANT 	2
0040-94202 	MOUNTING,GROUND ELCTRODE S/I 	IMPLANT 	3
0040-94286 	MOUNTING, SUPP. ELEC- TRODE 	IMPLANT 	3
0040-94454 	TUBE SUPPORT 	IMPLANT 	1
0040-94512 	FLANGE,PISTON P.A. SINGLE SEAL 	IMPLANT 	8
0040-94515 	Blade Pick-up Shoe, non-button 	IMPLANT 	3
0040-94643 	NOZZLE,OVEN MK2,4DEG,3VAPO. 	IMPLANT 	2
0040-94808 	FXD CLIP,200-0DEG.SIL/SP.RE.FR 	IMPLANT 	5
0040-94911 	PIPE ASSY, ARGON 	IMPLANT 	1
0040-94974 	ADAPTOR, LONG, 16MM 	IMPLANT 	2
0040-94977 	ADAPTOR, SHORT, 20MM 	IMPLANT 	1
0040-94982 	BASE, SETTING JIG 	IMPLANT 	2
0040-94984 	SPACER SUPPORT (H.E.) 	IMPLANT 	2
0040-95016 	REDUCER KF40/KF25 MOD 	IMPLANT 	2
0040-95059 	INST H'SINK CTD 125-0 ENLGD 	IMPLANT 	19
0040-95067 	WATER MANIFOLD FLOW/DISTRIB 	IMPLANT 	1
0040-95686 	PFS SUPPORT PLATE 	IMPLANT 	1
0040-95863 	EXTRACTION PIPE ASSY (CRYO EX) 	IMPLANT 	2
0040-95887 	LEAD SCREEN,SRC.SERVICE, XR80 	IMPLANT 	1
0040-95888 	APERTURE SUPPORT CAGE 	IMPLANT 	1
0040-96564 	DP BOX LH SIDE 	IMPLANT 	1
0040-96730 	MANIFOLD,EBARA PUMP B/LINE 	IMPLANT 	1
0040-96857 	BODY PLASMA HEAD 	IMPLANT 	1
0040-96889 	GUARD, AIR CLAMP - UPPER 	IMPLANT 	1
0040-96923 	CGA 330 PIGTAIL 	IMPLANT 	6
0040-97298 	UPPER HALF,D.P. BOX xR80/120 	IMPLANT 	1
0040-97422 	COVER,IHC SOURCE DOOR LATCH 	IMPLANT 	1
0040-97996 	GAS LINE ASSY 	IMPLANT 	2
0040-99193 	PIGTAIL, BOTTLE, SDS 	IMPLANT 	7
0041-01895 	PIGTAIL,SA-HP,UHIS SA-B 	IMPLANT 	8
0041-02469 	PIGTAIL,He AFNOR TYPE E(B5) 	IMPLANT 	1
0041-02552 	PIGTAIL,He AFNOR TYPE E(B5)1/4 	IMPLANT 	1
0041-02879 	SOURCE TO PURGE INTERLINK 	IMPLANT 	1
0041-04516 	SPACER PLATE 4 PIN 	IMPLANT 	1
0041-05942 	CATHODE,LASER SLOTTED 	IMPLANT 	1
0041-06084 	HEATSINK, SHINETSU 150mm NON-C 	IMPLANT 	1
0045-90000 	SCREW LEAD ASSEMBLY 	IMPLANT 	6
0090-06206 	ATMOS ELEV WH I/F MDL ASSY 	IMPLANT 	1
0090-06402 	ASSY S/BOX 	IMPLANT 	1
0090-90378 	wPOST A CNTRL CHASSIS MODULE 	IMPLANT 	1
0090-90460 	PRE A SUPPRESSION MODULE 	IMPLANT 	1
0090-90967ITL 	DAQ TYPE'H' 	IMPLANT 	3
0090-90979 	CHASSIS MDL SERVO ARM CTLR 	IMPLANT 	1
0090-91271 	DAQ TYPE 'H' LINKED 	IMPLANT 	2
0090-91412 	EMI PSU ASSY 80V 125A 10KW 	IMPLANT 	2
0090-91514 	ASSY S/BOX 	IMPLANT 	2
0090-91558 	MOTEC,SCAN AMP (P195/B) 	IMPLANT 	2
0090-91596W 	CHASSIS MOTECH PSU/AMP MP80 	IMPLANT 	2
0090-91598 	CHASSIS MOTECH CLAMP CD52 	IMPLANT 	1
0090-91640ITL 	ASSY 45W XP P.S.U. 	IMPLANT 	3
0090-91698 	ENERGY CNTRL CHASS XR80 LEAP 	IMPLANT 	1
0090-91806ITL 	FOCUS PSU ASSY 	IMPLANT 	3
0090-93027 	DECEL PSU -15kV 20mA 	IMPLANT 	1
0090-99044 	MODULE,CHARGE SENSOR HD,LOW-C 	IMPLANT 	1
0100-00223 	PCB WH I/F MDL AMPLIFIER 	IMPLANT 	1
0100-00467 	PWBA INDEX CONTROL MAIN BOARD 	IMPLANT 	3
0100-00609 	PCB SIGNAL TOWER I/F MDL STD 	IMPLANT 	4
0100-00695 	PCB AUXILIARY EMO RELAY 	IMPLANT 	1
0100-00747 	PCB WH I/F MDL DSP MACRO 	IMPLANT 	1
0100-00830 	PWBA H2 90 BAR GAS INTERLOCK 	IMPLANT 	1
0100-00980 	PWB ASSY GAS &amp; OVEN M/BRD A 	IMPLANT 	5
0100-00981 	PWB ASSY GAS &amp; OVEN M/BRD B 	IMPLANT 	2
0100-01032 	PWBA T/S VACUUM INT'LK 	IMPLANT 	2
0100-01033 	PWBA VAC.CONT W/L I/L 	IMPLANT 	2
0100-01160 	PCB ASSY G3 CLAMPING BOX 	IMPLANT 	1
0100-01197 	G2/G3 DELATC &amp; PROT PCB 21.7MA 	IMPLANT 	1
0100-01440 	PWB CONFIG LOOP CONTROLLER 1 	IMPLANT 	1
0100-01445 	G2/G3 DLATC/PROT PCB 21.7MA Q2 	IMPLANT 	2
0100-01446 	G2/G3 DLATC/PROT PCB 21.7MA Q2 	IMPLANT 	1
0100-01486 	ASSY Y SENSOR PCB 	IMPLANT 	1
0100-01706 	PWBA, X-Y SENSOR,300MM,QX 	IMPLANT 	3
0100-01746 	Q3 DSP HOST BOARD 	IMPLANT 	1
0100-01877 	FOCUS PSU INT'FACE 	IMPLANT 	1
0100-01922 	AIR BRG/FACILITY INTERLOCK PCB 	IMPLANT 	2
0100-02075 	PCB,INTERLOCK,SA-HP GAS MODULE 	IMPLANT 	5
0100-02092 	QX PLUS DSP HOST BOARD 	IMPLANT 	1
0100-02092W 	QX PLUS DSP HOST BOARD 	IMPLANT 	1
0100-02243 	PCB DAQ MICRO(INTERNAL) EPROM 	IMPLANT 	1
0100-02283 	PCB WH I/F MDL DSP MACRO 	IMPLANT 	5
0100-02287 	I-V CONVERTER &amp; BEAMSTOP V MON 	IMPLANT 	3
0100-02772 	PCB WH I/F MDL DSP MACRO 	IMPLANT 	1
0100-02929 	ASSY, I-V PSU RLY PCB 	IMPLANT 	1
0100-90032 	PWBA MAINS SENSE 	IMPLANT 	4
0100-90234 	R4004SSY M/B ARM SERVO CONTROLLER 	IMPLANT 	2
0100-90235 	PWBA ARM SERVO CONTROL 	IMPLANT 	2
0100-90468 	PWBA CHARGE VOLTAGE C.L.C.C. 	IMPLANT 	4
0100-90485 	PWBA WAFER ORIENTER CNTL *** 	IMPLANT 	1
0100-90503 	PWB ASSY INDEX CONTROL 	IMPLANT 	5
0100-90533 	PWBA BEAMLINE VACUUM MIMIL PANEL 	IMPLANT 	1
0100-90573 	FILAMENT INTERFACE PCB 	IMPLANT 	1
0100-90642 	PWBA, PLASMA ARC CURRENT 	IMPLANT 	1
0100-90655 	PWBA B/L INSTRUMENTATION M/BD 	IMPLANT 	2
0100-90689 	ARC VOLTAGE CONTROL PCB REPLACES 0100-90 	IMPLANT 	1
0100-90798 	PWBA DAQ MICRO EXTENDER CARD 	IMPLANT 	3
0100-90811 	PWBA SPIN CONTROL 	IMPLANT 	5
0100-90814 	PWBA WAFER ORIENTER MOTHERRD 	IMPLANT 	1
0100-90841 	PWBA OPERATOR PROMPT 	IMPLANT 	1
0100-90851 	PRE ACCEL H.V. M/B (XR/S TD) *** 	IMPLANT 	2
0100-90860 	PWBA.BEAM STAB.MONITOR 	IMPLANT 	2
0100-90861 	PWBA SPIN SCAN VEL CNTRL REPLACES 0100-9 	IMPLANT 	5
0100-90880 	TURBO PUMP INTERFACE PCB REPLACES 0100-9 	IMPLANT 	3
0100-90899 	PWB ASSY OP. PROMPT DD 	IMPLANT 	1
0100-90930 	PWBA ARC VOLT CONTROL (BUGIN) 	IMPLANT 	2
0100-90934 	DECEL/FOCUS PSU INT'FACE (GLA) 	IMPLANT 	1
0100-90992 	PWBA WAFER ORIENTER CONTROL 	IMPLANT 	4
0100-91059 	PWBA SPIN SCAN CONTROL M/B 	IMPLANT 	1
0100-91074 	ARC PSU CNTRL PCB (STD) 	IMPLANT 	2
0100-91104 	RJ45 "SHIELDED" CONN.INTERFACE 	IMPLANT 	2
0100-91128 	PWB ASSY GND PDU M/BOARD 	IMPLANT 	1
0100-91135 	PCB BEAMLINE VACUUM M/BOARD 	IMPLANT 	1
0100-91139 	DECEL CONTROL MOTHERBOARD 	IMPLANT 	1
0100-94013 	PWBA-SCAN CLOCK 	IMPLANT 	2
0100-94036 	PWBA.BLADE CONTROL 	IMPLANT 	1
0100-94084 	PWBA INDEX SERVO DIRECT DRIVE 	IMPLANT 	1
0100-94097 	PWBA VIBRATION CARD 	IMPLANT 	2
0100-99018 	PWBA WAFER ORIENTER MICROCONTL 	IMPLANT 	2
0140-90154 	ASSY WIRED TILT MOTOR 	IMPLANT 	1
0140-90278 	CFA EXTRACTION MANIPULATOR 	IMPLANT 	1
0140-90476 	C/FORM,TX,F/O,UMBILICAL 	IMPLANT 	1
0140-90477 	C/FORM,RX,F/O,UMBILICAL 	IMPLANT 	2
0140-90754 	CFA AMAG/PRE-ACC SIGNAL LOOM 2 	IMPLANT 	1
0140-90951 	CFA X2A.VIB TX/X5C.P8.P13 	IMPLANT 	3
0150-24358 	PLASMA GUN EXTERNAL CABLE 	IMPLANT 	1
0150-90185 	ASSY VIBRATION SENSOR CABLE 	IMPLANT 	1
0150-90826 	SRC GATE  VALVE 24B.J1 	IMPLANT 	1
0150-90962 	CBL ASSY 26A.P1/30F.P10 	IMPLANT 	1
0150-91316 	CFA P16.OPTION MAIN PDU 	IMPLANT 	1
0150-91803 	CABLE ASSY 2G4,P4ENCODER 	IMPLANT 	1
0150-91904 	CFA 5A.P2/2A.P3 	IMPLANT 	1
0150-91944 	CFA 5G.01/2G.P1 	IMPLANT 	2
0150-92044 	CFA 8AP5/9FP1 	IMPLANT 	1
0150-92045 	CFA 8AP6/9FP1 	IMPLANT 	1
0150-92046 	CFA 8BO1/9F01 	IMPLANT 	1
0150-92047 	CFA 8BO2/9F02 	IMPLANT 	1
0150-92354 	C/ASSY.5FA.P21/5L.SK4 	IMPLANT 	1
0150-92652 	CABLE X1C.P4/X3A.P10 	IMPLANT 	1
0150-92669 	CFA X3A.P7/X1C.P1 	IMPLANT 	2
0150-92747 	CA 2G.P8/2K.SERVICES BOX 	IMPLANT 	1
0150-92808 	C.A. X5N.SK1/X2F.P1 	IMPLANT 	1
0150-93047 	CBL ASSY X25B.J1 	IMPLANT 	2
0150-94185 	F/O,T1,6720mm,X14A.E.Tx/X5C.Rx 	IMPLANT 	2
0150-94186 	F/O,T1,5360mm,X14A.E.Rx/X5A.Tx 	IMPLANT 	2
0150-94322 	C/ASSY-2K.P3/2K.MSW1 &amp; 2 	IMPLANT 	1
0150-94378 	CFA X25C.P3/X2H.P1 	IMPLANT 	1
0150-94966 	C/ASS X30B.P9/XSRC AIM GAUGE 	IMPLANT 	3
0150-94968 	C/ASS X30B.P11/XBKG PIR GAUGE 	IMPLANT 	2
0160-00010 	ETHERNET ADAPTOR (PC-NET-3C) 	IMPLANT 	1
0160-00016 	PSU ACE-920A 	IMPLANT 	3
0160-00049 	KEYBOARD WITH TRACKER BALL 	IMPLANT 	2
0160-00064 	HARD DISC DRIVE 40GB INTERNAL 	IMPLANT 	1
0190-17299W 	ROBOT, YASKAWA BTX DARP MANIPULATOR ONLY, QS VANTAGE FI 	
IMPLANT 	1
0190-34701 	SUPPORT ARM ADJUSTABLE,G2,Ref:0020-25740 	IMPLANT 	24
0190-34789 	ASSY,ELECTRODE HOLDER,G4,Ref:0040-88469 	IMPLANT 	2
0190-34790 	ELECTRODE HOLDER,G3,Ref:0040-88468 	IMPLANT 	2
0220-28349 	QXCES HEAT EXCHR GLTCH RECOVRY 	IMPLANT 	6
0240-03455 	KIT,125mm 0-DEG SPARE INSERT 	IMPLANT 	2
0240-61354 	KIT, G2 LOAD PCB COOLING RETROFIT 	IMPLANT 	4
0240-61604 	KIT COMPACTSCAN STOPS 300mm 	IMPLANT 	3
0240-63340 	STEPSCAN 1 SPARE SEAL KIT 	IMPLANT 	1
0240-64365 	STEPSCAN TURBO PUMP UPGRADE R/FIT KIT 	IMPLANT 	1
0240-91347 	KIT, 3PH 40KV ISO TX CAST RSN 	IMPLANT 	1
0240-92742 	KIT,INSERT,125MM, 7 DEG **** 	IMPLANT 	1
0240-92743 	KIT,INSERT,150MM,0 DEG **** 	IMPLANT 	50
0240-92744 	KIT,INSERT,150MM,7 DEG **** 	IMPLANT 	30
0240-92854 	KIT,150mm VA OPTO BRD &amp; FLAG 	IMPLANT 	1
0240-93192 	KIT TOOLS VA SCAN ARM PIK 	IMPLANT 	1
0240-94408 	H'SINK INST ASSY 125-0 ENLGD 	IMPLANT 	31
0240-94797 	H'SINK INST ASSY 150-7 ENLGD REPLCES 024 	IMPLANT 	23
0240-95625 	PSO KIT,BAFFLES,AIM GAUGE HDS 	IMPLANT 	1
0240-97869 	RETROFIT KIT 45W (-5V) XP PSU 	IMPLANT 	1
0240-99439 	KIT, SDS GEF4 GAS MDL (SINGLE) 	IMPLANT 	1
0270-04127 	SHIM, MAG CHANNEL TOP 	IMPLANT 	20
0270-90149 	TOOL,BELT TENSION 	IMPLANT 	1
0500-00174 	16-PORT RS232 SERIAL SERVER 	IMPLANT 	1
0500-00232 	DOSE CTRL, MOTION I/FACE ASSY 	IMPLANT 	1
0500-00298W 	QUANTUMX MOBILE PC 	IMPLANT 	1
0500-00334 	PHANTOM SPECTER ll PS/2 (ID#4) 	IMPLANT 	1
0500-00335 	PHANTOM SPECTER II RS232(ID#4) 	IMPLANT 	1
0500-00498 	CONTROLLER 8AX CTRL/FDBK 6AXDR 	IMPLANT 	21
0500-00498W 	CONTROLLER 8AX CTRL/FDBK 6AXDR 	IMPLANT 	3
0520-00041 	ATM ROBOT ABM405 VAC TUBE UPGR 	IMPLANT 	1
0520-00046W 	DBM ROBOT DUAL ARM QUANTUM X 	IMPLANT 	1
0520-00062 	DBM ROBOT DUAL ARM QUANTUM X 	IMPLANT 	1
0540-90000 	wAMPLIFIER,BLEEDER RESISTOR 	IMPLANT 	1
0540-90028 	AMP(TYPE SBA),BRUSHLESS dc MTR 	IMPLANT 	5
0540-90029 	AMP(TYPE SSA)BRUSHED dc MTR 	IMPLANT 	5
0560-00010 	DDS4 MEDIA BLANK DAT TAPE 40GB 	IMPLANT 	4
0600-00147 	CFA FAN-4OKV ISO TX SPARE 	IMPLANT 	4
0620-02955 	CONTROL CABLE MAG1300 6.5MTR 	IMPLANT 	2
0620-03362 	CA PX50D.HV O/P / PX50F.STUD 	IMPLANT 	1
0630-00336 	CAPACITOR 5.0 uF 	IMPLANT 	6
0660-00232 	ETHERNET CARD 10/100 BASE-TX 	IMPLANT 	3
0660-00499 	HALL PCB, EB2019A 00 	IMPLANT 	2
0660-90017 	CARD CONTROL D550.01 	IMPLANT 	1
0680-00154 	CIRCUIT BREAKER,2 POLE 2A 	IMPLANT 	7
0680-00156 	CIRCUIT BREAKER,2 POLE 6A 	IMPLANT 	1
0680-00458 	MCB 3 POLE 25A TYPE S273-K25 	IMPLANT 	1
0680-00572 	BREAKR,4A 1 POLE,ABB S281UC-K4 	IMPLANT 	1
0680-00666 	CCT BRKR RES CURR REL 4 POLE 	IMPLANT 	1
0680-02615 	CIRCUIT BREAKER, MINATURE, 3 POLE, 4A 	IMPLANT 	3
0680-90045 	CIRCUIT BREAKER, 2A SP 	IMPLANT 	70
0680-90093 	C\BREAKER 10A DP 220V NEON 	IMPLANT 	2
0680-90098 	CIRC.BRKR.1P 10A DIN MTG 	IMPLANT 	6
0680-90194 	ELCB, 4 POLE, 250A 	IMPLANT 	2
0680-90278 	C.B. PRO-S 3PH. 25A 	IMPLANT 	2
0690-90069 	CIRCLIP,EXT.12MM DIN 471 S/ST 	IMPLANT 	200
0700-00067 	COIL, LINEAR MOTOR, TRILOGY LM 	IMPLANT 	1
0720-07419 	6WAY IEC DIST PANEL 	IMPLANT 	1
0720-90317 	CONN RECPT FUJITSU 10W CRIMP 	IMPLANT 	42
0720-91219 	CONN INSERT MALE 4+2 Han 4/2 	IMPLANT 	3
0720-91658 	CONN.LINEAR HIT,32 WAY,10mm 	IMPLANT 	9
0760-90008 	COUPLING-FLEXIBLE TO... 	IMPLANT 	1
0840-90089 	*DIODE ZENER 33V 5W 	IMPLANT 	300
0840-90121 	DIODE PF75 6000V 500MA FAST... 	IMPLANT 	73
0850-90042 	V.D.U. COLOUR MONITOR HI-RES.. 	IMPLANT 	1
0850-90070 	13IN.MONITOR,LIQUID CRYSTAL 	IMPLANT 	1
0850-90101 	MONITOR ROBOTIC (SPARES ONLY) 	IMPLANT 	1
0900-00054 	3PH FILTER,75A,FN258P-75/34 	IMPLANT 	1
0910-98007 	RESETABLE FUSE HV 500mA 	IMPLANT 	400
1010-90036 	INDICATOR,GREEN TRANSPARENT 	IMPLANT 	1900
1010-90069 	LAMP GL130 ITEM 42 ON       .. 	IMPLANT 	25
1010-90088 	Signal Tower 	IMPLANT 	1
1010-90176 	SIGNAL TWR 5 COLOUR POLE MOUNT 	IMPLANT 	4
1070-00034 	E423 DIGITAL CURRENT MONITOR 	IMPLANT 	1
1080-00238 	BRUSHLESS SERVO AMPLIFIER 	IMPLANT 	1
1080-00239 	BRUSHLESS SERVO AMPLIFIER 	IMPLANT 	1
1080-00240 	BRUSHLESS SERVO AMPLIFIER 	IMPLANT 	2
1080-00241 	BRUSHLESS SERVO AMPLIFIER 	IMPLANT 	2
1080-90080 	MOTOR AND TACHO...... 	IMPLANT 	106
1110-00112 	SERVER SERIAL 2 PORT RSB 	IMPLANT 	1
1120-00066 	FIBER, OPTICS, BUNDLE 	IMPLANT 	6
1140-00087 	POWER SUPPLY,24VDC,14A 	IMPLANT 	1
1140-00110 	PSU G2 1KW SPEC 0190-04408 	IMPLANT 	1
1140-00111 	PSU DECEL -6KV SPEC 0190-05266 	IMPLANT 	1
1140-00154 	PSU XANTREX 7.5V 80A FIL MK6 	IMPLANT 	1
1140-00161W 	PSU G2 1KW 3U SPEC 0190-04408 	IMPLANT 	1
1140-00538 	PSU G3 TO SPEC 0190-24145 	IMPLANT 	1
1140-00872 	PSU DC-DC CONV TRIPPLE OUTPUT 5VOUT 48VI 	IMPLANT 	2
1140-01382 	PC POWER SUPPLY (MPS1058-010) 	IMPLANT 	1
1140-90057 	wPSU:360W,15V,24A 	IMPLANT 	1
1140-90126 	PSU 24Vdc O/P,4.2A,100W 	IMPLANT 	1
1140-90162 	PSU 6kW CONVERTER 	IMPLANT 	1
1140-90164W 	PSU OL400/203 SPEC 0190-91111 	IMPLANT 	1
1200-00114 	RELAY SAFETY MAIN PDU EMO 	IMPLANT 	2
1200-00378 	RELAY 12A 400V DC 	IMPLANT 	1
1200-00403 	RELAY, 8 POLE, 4NO, 4NC, POSG 	IMPLANT 	2
1210-00375 	RES.VAR.25W.1R0.ST-STL 	IMPLANT 	4
1210-90656 	SURGE RESISTOR 300W 5% 	IMPLANT 	12
1270-00485 	SWITCH HP 2000PSI 	IMPLANT 	1
1270-00804 	CONTACTOR, 3POLE 33A, 24VDC 	IMPLANT 	1
1270-00884 	DIGITAL VAC SWITCH 	IMPLANT 	1
1270-00901 	LEVEL SWITCH THERMO CHILLER 	IMPLANT 	1
1270-02091 	SAFETY SWITCH AZ16-12ZVK 	IMPLANT 	3
1270-90067 	SWITCH LIMIT 	IMPLANT 	4
1270-90076 	SWITCH MICRO 	IMPLANT 	9
1270-90097 	SWITCH, PB ALTERNATE CLR 	IMPLANT 	1725
1270-90277 	SWITCH FOR DFA FLOW METER 	IMPLANT 	1
1290-00887 	TERM INTERFACE 25W D TO SCREW 	IMPLANT 	1
1360-90083 	TOROID TRANSF. 100VA 0-12,0-12 	IMPLANT 	2
1400-01355 	SENSOR, HOME, OPTICAL VANE 	IMPLANT 	3
1400-90022 	SENSOR,LED,TYPE L33008 	IMPLANT 	2
3020-90022 D 	CYLINDER AIR DOUBLE ACTING 	IMPLANT 	2
3020-90054 	CYLINDER ROTARY 180DEG 	IMPLANT 	1
3030-12118W 	MFC 200SCCM, AR INTELLIFLOW II, NORMALLY 	IMPLANT 	1
3030-12332 	MFC,UNIT 1660,5SCCM BF3,CARDED 	IMPLANT 	1
3030-12764 	MFC,UNIT1662 0-5SCCM GEF4 4TOR 	IMPLANT 	1
3030-90011 	MFC,0-5SCCM GEF4 TYLAN 280S 	IMPLANT 	1
3030-90017 	MFC FC-2900M BF3 	IMPLANT 	1
3030-90018 	MFC FC-2900M GEF4 	IMPLANT 	1
3030-90025 	MASS FLOW CONTROLLER BF3 	IMPLANT 	1
3030-90033 	MASS FLOW CONTROLLER BF3.. 	IMPLANT 	1
3030-90041 	MFC,0-5SCCM,N2 TYLAN FC2900 	IMPLANT 	1
3030-90052 	ASS FLOW CONTROLLER,TYLAN 	IMPLANT 	1
3030-90074 	MFC,UNIT UFC1660 BF3 15W D 	IMPLANT 	1
3030-90074W 	MFC,UNIT UFC1660 BF3 15W D 	IMPLANT 	1
3060-00348 	.BRG LINEAR MAM20WW MULTITRAC 	IMPLANT 	6
3060-90328 	BEARING, CRSD ROLLER RB 4510 	IMPLANT 	1
3070-00036 	BELLOWS, SERVICE DUCT 	IMPLANT 	5
3080-00046 	BELT TMG 3MM X 6MMW 148T 	IMPLANT 	18
3090-00053 	SCREW,HEX SEALING M12X 30 SST 	IMPLANT 	23
3200-90184 	RECEPTACLE,1/4 TURN,2MM PNL 	IMPLANT 	229
3230-90002 	FLEX LINE -20 FOOT 	IMPLANT 	1
3300-06707 	FTG, 7/16-20(WITH ORING) - 1/4 	IMPLANT 	8
3300-07623 	PRESSURE RELIEF VALVE 6 D TUBE 	IMPLANT 	16
3300-08413 	FTG Q.C.10MM OD,SHUT OFF BULKH 	IMPLANT 	13
3300-09668 	DUAL FEEDTHROUGH 	IMPLANT 	4
3300-90364 	CONNECTOR,ATMOSPHERIC 	IMPLANT 	1
3300-90600 	FTG CONN M5x4mmOD PNEUMATIC 	IMPLANT 	12
3300-90868 	HOSE ADAPTOR 25mm 	IMPLANT 	38
3300-90923 	CONN,PORT,3/8 IN STAINLESS 	IMPLANT 	21
3300-91023 	BELLOWS KF 25 X 500 LG 	IMPLANT 	1
3300-91450 	BULKHEAD UNION 3/4 ST.ST 	IMPLANT 	5
3300-91646 	REGULATOR, PRESSURE 	IMPLANT 	7
3300-91740 	FLEXI-TUBE ST/ST 1/4"X12"S-LOK 	IMPLANT 	2
3300-91782 	UNION FTG 6MM - 6MM 	IMPLANT 	10
3300-91783 	SPEED CONTROLLER INLINE AS2000 	IMPLANT 	7
3300-91920 	BAFFLE (VAC GAUGE HD) 	IMPLANT 	1
3300-92055 	FITTING,FLEXIBLE VACUUM 	IMPLANT 	3
3300-97254 	PIPE, INLET RETURN QUANTUM' 	IMPLANT 	1
3310-00086 	ION GAUGE,STBL,TANTALUM CLIPS 	IMPLANT 	1
3310-00103 	UGE VACUUM AP-31 	IMPLANT 	1
3310-00104 	GAUGE PRESSURE AP-33 	IMPLANT 	1
3310-00113 	GAUGE, G46 DT, 0-1MPA, R1/8 	IMPLANT 	1
3310-90009 	GAUGE HEAD, PENNING 	IMPLANT 	6
3310-90042 	GAUGE HEAD PIRANI 	IMPLANT 	1
3320-90038 	GASKET COPPER FOR 70CF 10/PK 	IMPLANT 	42
3330-90028 	GEAR,88T,0.8MODULE MODIFIED.. 	IMPLANT 	2
3380-90058 	HEAT EXCHANGER 1.25 FBSP 	IMPLANT 	1
3400-00350 	HOSE,VISIFLOW 1"BORE KF25 2.1M 	IMPLANT 	4
3400-00503 	HOSE FLOW QX PLUS 	IMPLANT 	1
3400-90015 	HOSE 6MM,  EA=ME 	IMPLANT 	7
3400-90028 	HOSE SILICONE REIN.25.6OD*16ID, EA=ME 	IMPLANT 	6
3400-90061 	HOSE,VISIFLON GP RS.1195 LONG 	IMPLANT 	2
3400-90066 	HOSE,VISIFLON GP RS 750 LONG 	IMPLANT 	3
3400-90158 	HOSE, WHEEL RETURN - QUANTUM 	IMPLANT 	2
3420-90081 	INSULATOR ,FILAMENT 	IMPLANT 	50
3480-00268 	LCD MONITOR MOUNTING ARM 	IMPLANT 	4
3500-00263 	NUT HEX SS.M16x10 WIDE-AM SPEC 	IMPLANT 	15
3500-00344 	M6 FULL BRASS NUT 	IMPLANT 	4
3510-00067 	0.6 mBar l/sec purge/vent assy 	IMPLANT 	1
3550-90049 	DOWEL PIN, 5ODX20MM SS 	IMPLANT 	160
3610-90005W 	PULLEY,DRIVE TOP 	IMPLANT 	1
3620-00159 	CONTROLLER,TMP,EXC120 	IMPLANT 	2
3620-00218 	PUMP SEIKO TURBO MAG 1303 	IMPLANT 	1
3620-00404W 	ALCATEL A100P IPUP 	IMPLANT 	2
3620-00520 	KIT,340M VIBRATION ABSORBER 	IMPLANT 	1
3620-00525 	PUMP,CRYO OB ISO 250F BORED FL 	IMPLANT 	1
3620-00525W 	PUMP,CRYO OB ISO 250F BORED FL 	IMPLANT 	5
3620-90036 	PUMP,VACUUM MICRO 	IMPLANT 	1
3620-90062 	SWITCH THERMAL CVC DIFF PUMP 	IMPLANT 	2
3620-90093 	ACOUSTIC COVERS QDP80 	IMPLANT 	3
3620-90104 	PUMP TURBO SOURCE 	IMPLANT 	1
3630-00156 	TABS FOR GATE VALVE 25X560 	IMPLANT 	2
3680-00029 	TRACK,LINEAR,ROBOT,4 PORT 	IMPLANT 	3
3690-05118 	BOLT, HEX HD M16X90 TO AM SPEC 	IMPLANT 	1
3690-90098 	SCREW CSK.HD.MS/ZP M5X16MMLG 	IMPLANT 	3000
3690-90832 	VAC.SCR.SKT.HD.CAP M5x25 SS 	IMPLANT 	18
3700-03328 	RING,RETAINING.0.75" 	IMPLANT 	900
3700-03335 	O-RING VITON BS.459 	IMPLANT 	96
3700-04293 	O-RING,VITON,6.99C/S,1042.64ID 	IMPLANT 	1
3700-04436 	O-RING,.210"X28.875" I.D.,BUNA 	IMPLANT 	2
3700-04437 	O-RING,.210"X28" I.D.,BUNA 	IMPLANT 	2
3700-04438 	O-RING,.275"X41.5" I.D.,BUNA 	IMPLANT 	3
3700-04471 	O-RING 12.0ID X.103.25 BUNA 70 	IMPLANT 	20
3700-05744 	O-RING, 20.75 ID X .210 CSD 	IMPLANT 	6
3700-90235 	O-RING ID 577.85 CS 6.99 VITON 	IMPLANT 	1
3720-00123 	,INCREASED THK &amp; ELASTOMER 	IMPLANT 	1
3760-90021 	SLIDE ASSY 	IMPLANT 	1
3760-90036 	SLIDE-TELESCOPIC-MODIFIED.... 	IMPLANT 	1
3800-00310 	REGULATOR 0.02-2BAR + GAUGE 	IMPLANT 	4
3860-01763 	TUBING POLY 8mm OD GREEN FESTO 	IMPLANT 	54
3860-90019 	TUBE NYLON 6MM OD X 4MM ID 	IMPLANT 	6
3860-90020 	TUBE,1/4" OD PTFE 0.170" BORE 	IMPLANT 	10
3860-90041 	TUBING FLEX 01/4 X 6" F/M VCR 	IMPLANT 	3
3860-90071 	TUBE 3/4 OD PVC 	IMPLANT 	132
3860-90082 	TUBE 1/4"X0.17" BLACK NYLON (1 METER) 	IMPLANT 	420
3860-90134 	TUBING,TEFLON,6od x 4id WHITE 	IMPLANT 	6
3870-00473 	VALVE 3 WAY HUMPHREY 320 24VDC 	IMPLANT 	1
3870-03225 	VALVE, SMC VQZ 115-5LO-M5-PR 	IMPLANT 	2
3870-03910 	COMPACT VALVE (FESTO 173168) 	IMPLANT 	5
3870-03926 	VALVE 'OR' OS-1/8-B FESTO 	IMPLANT 	4
3870-04640 	GATE VALVE, INSERT - DN160 	IMPLANT 	2
3870-90041 	VALVE, CONTROL 	IMPLANT 	1
3870-90264 	VALVE PV10PK PNEUMATIC 1/8 BSP 	IMPLANT 	1
3870-90298 	VALVE,SOLENOID,4 PORT 	IMPLANT 	1
3870-90468 	PNEUMATIC MANIFOLD 'A' 	IMPLANT 	1
3870-90471 	INLET VALVE MANIFOLD QUANTUM 	IMPLANT 	1
3870-90486 	SOLENOID VALVE CONTINUOUS DUTY TYPE 24 V 	IMPLANT 	2
3920-90350 	SETTING PIN CASSETTE 	IMPLANT 	5
3930-90071 	ACTIVE GAUGE CONTROL DISPLAY 	IMPLANT 	1
3930-90073 	CONTROLLER,MOTOR (MCM) OEM VER 	IMPLANT 	2
3940-90046 	STUD,SLT DOME HD, 400 SERIES 	IMPLANT 	70
4020-00053 	PRE-FILTER ST/STEEL FRAME DBL 	IMPLANT 	2
4020-00189 	204021 HOUSING DI H/E    'B' 	IMPLANT 	2
4020-90122 	FILTER PACK (PAPER MEDIA) 	IMPLANT 	4
5075-90083 	TAPE BLANK DC600A 	IMPLANT 	21
9010-00081 	SENSOR ASSEMBLY FWI +/- 10 	IMPLANT 	6
9010-00138 	PNEUMATICS BOX WFL DOOR 	IMPLANT 	1
9010-00177 	PROC.PNEU.BLOCK TO 0190-02497 	IMPLANT 	3
9010-00304 	BLADE ASSEMBLY 300mm QUANTUM 	IMPLANT 	1
9010-00456ITLW 	HOLLOW GRIPPER ASSY 300mm 	IMPLANT 	2
9010-00738 	GRIPPER FINGER MOTOR ASSY 	IMPLANT 	3
9010-01038 	GAS MODULE WIRED HP - SiF4 	IMPLANT 	1
9010-01040 	GAS MODULE WIRED HP - BF3 	IMPLANT 	2
9010-01301ITL 	M/CLIP,ASSY RH S/SPEED 200 RPM 	IMPLANT 	7
9010-01343 	IN CHAMBER SENSORS 300mm 	IMPLANT 	1
9010-01460ITL 	ASSY,MAG TURBO PURGE VALVE Q3 	IMPLANT 	1
9010-01461 	ASSY,SRC TURBO PRG/VENT VLV Q3 	IMPLANT 	1
9010-01506 	WAFER ARM DRIVE ASSY 	IMPLANT 	1
9010-01540 	ROC. PNEUMATIC BLOCK ASSY-QX 	IMPLANT 	6
9010-01552 	BRAKE, TILT DRIVE 	IMPLANT 	1
9010-01554 	LINEAR MOTOR COIL ASSY 	IMPLANT 	4
9010-01579 	FAN ASSEMBLY QUANTUM X 	IMPLANT 	1
9010-01973 	LOW SPD MOVING CLIP 200 QUATUM 	IMPLANT 	2
9010-02001W 	ATMOSPHERIC ELEVATOR ASSEMBLY 	IMPLANT 	1
9010-02087 	MRS ASSY 	IMPLANT 	1
9010-02117W 	Q.R.G. 300mm,COM.PARTS 	IMPLANT 	1
90</t>
  </si>
  <si>
    <t xml:space="preserve">102126</t>
  </si>
  <si>
    <t xml:space="preserve">Reflexion</t>
  </si>
  <si>
    <t xml:space="preserve">102127</t>
  </si>
  <si>
    <t xml:space="preserve">97225</t>
  </si>
  <si>
    <t xml:space="preserve">REFLEXION</t>
  </si>
  <si>
    <t xml:space="preserve">103065</t>
  </si>
  <si>
    <t xml:space="preserve">Reflexion - Dielectric</t>
  </si>
  <si>
    <t xml:space="preserve">Dielectric CMP - CMP Equipment</t>
  </si>
  <si>
    <t xml:space="preserve">Current Condition: Used, In Warehouse - Crated - - Base System Reflexion: 4 
head, 3 platen polishing system.�Dry in Dry out. Polisher Skins: Clear P1, 
P2, P3, and P4: Non-4910 compliant. Gap Wash: 120 degree nozzles(Fan type) 
Load Cup Wafer Exchanger: Machined SST rings Nova 3090 Ready: None Monitor 
1 Location: Cart Monitor 2 Location: None Light Tower: Factory Interface 
and Polisher Sides - Software LK Software: Reflexion VMIC rp3B6.5_31 
Factory Interface: fB4.20_14 beta ISRM / RTPC: N/A RTPC: N/A Interface "A": 
N/A Nova 3090: N/A Wafer to Wafer iAPC: N/A Within Wafer iAPC: N/A - 
Factory Interface WIP Delivery Type: OHT/manual delivery FOUP: N/A OHT 
Light Curtain: NA E84 PI O Sensors and Cables: UPPER E84 SENSORS &amp; CABLES 
E99 Carrier ID: N/A Docked E99 Reading Capability: N/A Docking Flange 
Shield: N/A Frame Configuration: N/A Load Ports: TDK TAS300 Load Port 
Operator Interface: STANDARD Load Port Types: ENHANCED 25 WAFER FOUP 
Operator Access Switch: Yes - Platen 1 Platen Type: STANDARD (&lt;= 200 RPM) 
Endpoint: N/A Endpoint: N/A High Pressure Rinse Flow Meter: 0-5 L/min Rinse 
Arms: High Pressure/Flow Flow Meter: 50-500 ml/min Temperature Control: 
Platen Cooling Water - Platen 2 Platen Type: STANDARD (&lt;= 200 RPM) 
Endpoint: N/A Endpoint: N/A High Pressure Rinse Flow Meter: 0-5 L/min Rinse 
Arms: High Pressure/Flow Flow Meter: 50-500 ml/min Temperature Control: 
Platen Cooling Water - Platen 3 Platen Type: STANDARD (&lt;= 200 RPM) 
Endpoint: NA Endpoint: N/A High Pressure Rinse Flow Meter: 0-5 L/min Rinse 
Arms: High Pressure/Flow Flow Meter: 50-500 ml/min Temperature Control: 
Platen Cooling Water - Polisher Polisher Technology: SLURRY AND PAD 
Polishing Head: 5-Zone Contour CIP Cross Break: N/A Pad Wafer Loss Sensor: 
DARK PAD SENSOR InterPlaten Clean: NO ISRM Laser Key Switch: Yes Slurry 
Delivery System: 2 x 6 CLC SDS Head 1 Power Cable: 0150-16277 Head 2 Power 
Cable: 0150-16278 Head 3 Power Cable: 0150-16279 Head 4 Power Cable: 
0150-16280 Head 1 Encoder Cable: 0150-16281 Head 2 Encoder Cable: 
0150-16282 Head 3 Encoder Cable: 0150-16283 Head 4 Encoder Cable: 
0150-16284 G4+ UPA: MKS G4+ UPA: MKS - Cleaner Meg MEGASONICS: One chem 
direct feed (FM) Transducer: Yes Chemical 1: 1000 ml/min Chemical 2: N/A - 
Brush Box 1 Brush LDM Type: One chem direct feed (FM) Chemical 1: 1000 
ml/min Chemical 2: N/A Brush Box Level Spacer: N/A Brush Box Shaft: N/A Toe 
In: N/A Slow drain: N/A - Brush Box 2 Brush LDM Type: One chem direct feed 
(FM) Chemical 1: 1000 ml/min Chemical 2: N/A Brush Box Level Spacer: N/A 
Brush Box Shaft: NA Toe In: N/A Slow drain: N/A - Dryer Module Dryer Type: 
SRD Recovery Module: SRD Output Station Dampner: SRD - Damage/Missing parts 
list</t>
  </si>
  <si>
    <t xml:space="preserve">102128</t>
  </si>
  <si>
    <t xml:space="preserve">Reflexion FA</t>
  </si>
  <si>
    <t xml:space="preserve">102129</t>
  </si>
  <si>
    <t xml:space="preserve">SEMVision CX</t>
  </si>
  <si>
    <t xml:space="preserve">Defect Review SEM</t>
  </si>
  <si>
    <t xml:space="preserve">102490</t>
  </si>
  <si>
    <t xml:space="preserve">Spare Parts</t>
  </si>
  <si>
    <t xml:space="preserve">164</t>
  </si>
  <si>
    <t xml:space="preserve">Manufacturer
Model
Description
Applied Materials
0100-11002
Digital I/O B/D (P5000)
Applied Materials
1400-00207
Verity Instruments Spectrometer SD1024DL
Applied Materials
0190-28658
VERITY, SD1024F-2-S
Applied Materials
0190-06329
Common Junction BOX, Chamber AC Power
Applied Materials
0010-13445
System- Monitor Base Assy
Applied Materials
0190-17272
4-Channel Magnet Driver
Applied Materials
0010-25469
Applied Materials
0190-19143
HEATING PLATE
Applied Materials
0010-25481
e-Max CT+, CH Controller
Applied Materials
0190-02076
Wafer Leak Detector
Applied Materials
AS00800-02
MKS TeNTA cPCI SCOM-0800
Applied Materials
AS00700-02
MKS TeNTA cPCI AIAO-0700
Applied Materials
0190-05410
Card Dual Industry Pack Carrier cPCI Bus
Applied Materials
0190-10156
DeviceNET Scanner B/D
Applied Materials
0190-15915
Card Controller cPCI 166MHz Pentium3
Applied Materials
AS00720-02
MKS TeNTA cPCI PWRS-0720
Applied Materials
220980106
LFS
Applied Materials
0010-17261
Applied Materials
0020-30958
FILTER, SLIT WINDOW,PRSP
Applied Materials
4250-5E
Applied Materials
0010-76467
AMAT 0 Heat Exchangeer
Applied Materials
0227-56392
AMAT 1 Heat Exchangeer
Applied Materials
0190-22205
ENG SPECIFICATION Temp Controller
Applied Materials
0190-26463
Temp Controller
Applied Materials
0190-26495
Temp Controller
Applied Materials
0190-23623-001
AE Navigator Match
Applied Materials
0200-36425
Applicator Tube
Applied Materials
0010-09174
P5000 CVD THROTTLE VALVE
Applied Materials
0226-97904
THROTTLE VALVE
Applied Materials
0040-20146
BELLOWS WAFER ORIENTER
Applied Materials
0090-04247
Power Supply
Applied Materials
0190-26328
Hot Ion Pirani Vacuum Gauge
Applied Materials
0190-26769
Universal Gauge
Applied Materials
0190-72235
Capacitance Manometer 1000Torr
Applied Materials
0190-72742
Capacitance Manometer 1000Torr
Applied Materials
0190-72680
Capacitance Manometer 10Torr
Applied Materials
0200-05664
COLLAR ,ESC 300MM, MIN. CONTACT HDPCVD
Applied Materials
0090-06453
PRODUCER SE MF CNTRL
Applied Materials
0140-70416
HARNESS ASSY PH II FAC
Applied Materials
0140-35414
Harness MFCS CHAMBER D
Applied Materials
0150-13084
CABLE ASSY, GAS PANEL POWER (40FT)
Applied Materials
0242-36268
KIT, CABLES, DPS CHAMBER
Applied Materials
0140-70395
ASSY DOME CABLE
Applied Materials
0140-12547
HARNESS, PC TO KVM WITH EVC IN TERFACE (15FT)
Applied Materials
0140-10098
HARNESS, CONTROL BOX POWER DISTRIB
Applied Materials
0240-49281
KVM EMULA SWITCH CABLE SET
Applied Materials
0150-35739
CABLE, ASSY, RF GENERATOR INTERCONNECT (75FT)
Applied Materials
E32000676
VALVE, FLOW CONTROL, 500 PSIG, DOWN PORTED.
Applied Materials
E23000582
CONTROLLER, MASS FLOW, GF120, HP, H2, 200 sccm
Applied Materials
E33000499
TRANSDUCERS, PR, 1500 Torr
Applied Materials
E32000658
AP3000SM-2P-FB-IS
Applied Materials
IGM402 HORNET
HOT CATHODE IONIZATION VACUUM GAUGE WITH DUAL CONVACTION
Applied Materials
0150-76116
ROBOT CALIBRATION CABLE
Applied Materials
0150-08018
CABLE ASSY SERIAL ADAPTER
Applied Materials
0150-25586
CABLE ASSEMBLY
Applied Materials
0090-02606
ASSY, PC SELECT SWITCH
Applied Materials
0150-16797
CABLE ASSY USB 4POS PLUG
Applied Materials
0150-06915
C/A FE PC POWER INPUT IEC
Applied Materials
0620-00977
CABLE ASSY ETHERNET SHLD RJ45 CAT5E
Applied Materials
0620-04348
USB TO PS2 ADAPTER, AMAT KVM SWITCH COMPATIBLE
Applied Materials
0620-04412
CABLE 6 INCH PS2 ADAPTER 6PIN
Applied Materials
0620-05364
CABLE, PS/2, MOUSE OR KEYBOARD, 6FT, M-M
Applied Materials
0140-14753
CABLE ASSY UPS SHUTDOW
Applied Materials
0150-11357
CABLE ASSY EXTENSION, SER
Applied Materials
0150-14395
CORD, 208VAC UPS, UPS C14
Applied Materials
3020-00225
NCDQ2WB50-50DC-XB13 / CYL, Compact D/ROD L/Speed,S-W
Applied Materials
EL6485000
Applied Materials
0010-33814
Applied Materials
0190-17546
Applied Materials
3320-01049
GSKT SHLD RF .125DIA 2LB/LIN-IN LOW-FOR (24FT)
Applied Materials
1004208-079
MIN BEND RADIUS 4.8"(12CM) REV.J
Applied Materials
0242-24198
KIT, OPTIONAL, CHAMBER OPTIC CABLE MOUNT, EYED IEP, 200MM DPS POLY
Applied Materials
0020-09588
BRAKET, BACK FOR UPS ON SYSNETICS FFU
Applied Materials
0850-00088
THRU-WALL MOUNT
Applied Materials
0190-12908
FACEPLATE, 4U, 4HP, WITH HARDWARE
Applied Materials
0190-12909
BLANKOFF, PCMIP
Applied Materials
0190-17081
TeNTA CPCI PWRS-0721
Applied Materials
0190-23509
TeNTA Quad Serial B/D
Applied Materials
0090-20043
4WAY SINGLE VALVE
Applied Materials
0190-08875
CARD 100W MESA UPS 3U
Applied Materials
0242-43388
POLISHED CENTERFINDER KIT P5000
Applied Materials
0100-13024
ASSY, PCB INTERFACE PROCESSOR DIST
Applied Materials
3070-00032
BLWS SECTION FLEX NW40 X NW40 3.94L, SST304, LEYBOL
Applied Materials
0190-08663
EXTERNAL USB 3.25IN FLOPPY DRIVER
Applied Materials
0200-35957
WINDOW, 2.750 DIA, SAPPHIRE
Applied Materials
3700-01515
LIP SEAL 1/8 FLANGED
Applied Materials
0720-04379
CONNJACK MODULAR PHONE 8CONT
Applied Materials
0720-08319
20NN ADAPTER, SERAL NULL MODEM, DB9
Applied Materials
0010-00859
ASSY, MIRROR HSG, HI-TEMP,DOME WINDOW. I
Applied Materials
0040-89716
E-CLEAN MTG BKT, SHELF B RETROFIT, FFU, 5.3 FI
Applied Materials
0200-00207
TIP, SUSCEPTOR SHAFT OUTSIDE
Applied Materials
0021-36222
BRAKET, BAR CLAMP
Applied Materials
0021-36040
BAR,, SUPPORT BALL VALVE
Applied Materials
0200-35423
SHAFT, WAFER LIFT, 6"
Applied Materials
0190-26019
SPECIFICATION, POWER WAVE UPS 5115 1U RM, 208VAC UPS
Applied Materials
0190-33823W
AE PARAMOUNT 1513
Applied Materials
0190-10028
AE PDX 900-2V_3156024-133A
Applied Materials
0190-19021
APEX 3013_3156113-006C
Applied Materials
0190-17779-001
AE OVATION 2760, M/N : 3140292-007 E
Applied Materials
0090-06587
ASSEMBLY, SERVER FES, SM-1U-2.33-4GB-500GB-HWR-SERAL
Applied Materials
0090-06587
ASSEMBLY, SERVER SM-1U-2.33-4GB-250GB-SR
Applied Materials
0090-04958
FES IBM eServer
Applied Materials
0090-04332
INTERFACE SEVER (0190-23318-001)
Applied Materials
0190-29389W
AE OVATION 35162
Applied Materials
0190-37753
EyeD CONTROL PC 2.5GHz Quad Core 1TB HDD
Applied Materials
0040-09595
HOOP, CHUCK,SUPPORT WAFE
Applied Materials
0090-09244
COIL, MAGNET, SYMMETRICAL, 1.33 X 1.55
Applied Materials
0040-09893
Mxp+ chamber Ass'y poly type:B
Applied Materials
0190-12377
SPEC. SLAVE CONTROLLER KAWASAKI ROBO 30C61C-B002
Applied Materials
0242-03087
KIT, SHIPPING CART, DPS
Applied Materials
0190-19429
IPC-6908
Applied Materials
0010-27073
SLIT DOOR ASSEMBLY DPSII ADVANTEDGE
Applied Materials
0920-00130W
AE RAPID-OE PLASMA SOURCE // M/N : 3151802-003
Applied Materials
0190-09761
VALVE.PNEUMATIC BALL N/C
Applied Materials
0090-07168
CABLE ASSY, RECEPTACLE, GENERATOR, 300MM EMAX CTS
Applied Materials
0020-48839
UPPER HARNESS RACEWAY TRAY, FFU, 5.3FI
Applied Materials
3870-04672
TBV-IQD-150-NW-40
Applied Materials
0010-36850
ASSY ATM CLAMP RING SST FIT
Applied Materials
0010-44242
DUAL DISPLAY ASSY.17" W/TOUCHPAD, GUI &amp; EYE D
Applied Materials
0242-46557
BPC-1701-01-01-LPE-KIT-MON-MON
Applied Materials
0190-27952-04
SPECIFICATION, ETHERNET TO SER
Applied Materials
0200-35688
CHAMBERLINER
Applied Materials
0242-48211
KIT, SHELDING CLAMP, GAS LINES, EMAX 300MM I3DB
Applied Materials
0190-45045
SBC, ADLINK PENTIUM M 1.0GHZ 512MB RAM 512MB CF
Applied Materials
0010-30277
ESC, Assy 300mm DPSⅡ
Applied Materials
0200-39137
CERAMIC DPS-POLY DOME
Applied Materials
0090-04736
RF FILTER BOX
Applied Materials
1140-00620
P/S module HF10-937
Applied Materials
0230-A1772
EFF &amp; TB MAPPER OPTION
Applied Materials
0190-10318
KAWASAKI P/N : 50480-1089
Applied Materials
0200-05678
BLADE, CERAMIC OPEN POCKE
Applied Materials
0021-37344 REV.P1
6" PEDSTAL
Applied Materials
0100-00003
STEPPER DRIVE
Applied Materials
0190-24008 REV 002
SBC C400MHz 3U 4HP 64M RAM FRO
Applied Materials
0190-24007 REV 001
MKS-TENTA AS3720-23 REV 01
Applied Materials
0090-40772 REV 001
SBC P1.6GHz 1GB RAM 80GB HDD, CPCI-3840/AMA//PM16
Applied Materials
0240-14507
PIK, VDS SENSOR, ASP+ 200MM
Applied Materials
0242-76618
CONT. MOD. VENT KIT A,B, AND C IHC CHAM / MXP+, IHC
Applied Materials
0010-70322
ASSY, ACUTUATOR SLIT VALVE, MOD, CROWNED
Applied Materials
0195-04829
FLOUR OPTIC TEMPERATURE MONITOR 300MM E-MAX, DUAL ZONE ESC
Applied Materials
0200-04317-003-831
258-00618 QUARTZ PART
Applied Materials
0200-04317-003-831
288-00638 QUARTZ PART
Applied Materials
0200-04235
CERAMIC, ISOLATOR, PRODUCER 300mm
Applied Materials
0200-02747
LID CERAMIC DUAL GAS FLAT IEP 300MM
Applied Materials
0200-35956
CERAMIC DPS-POLY DOME
Applied Materials
0200-03969
CERAMIC TOP LINER
Applied Materials
0200-03406
C-CHANNEL SIDE 1 PRODUCER SE ARF
Applied Materials
0021-02395
INSERT RING ALUMINUM DXZ SACVD
Applied Materials
0200-36418
COVER CERAMIC PUMPING CHANNEL DXZ SAC
Applied Materials
0200-00278
RING, EDGE, SLIT, NITRIDE 550
Applied Materials
0200-36415
PUMPING RING CERAMIC C-SHAPE DXZ SACVD
Applied Materials
0200-36416
PUMPING RING CERAMIC DXZ SACVD
Applied Materials
0200-36417
PUMPING RING, CERAMIC TOP, DXZ SACVD
Applied Materials
0040-79927
SGD OUTER COOL PLATE 300MM EMAX CTS
Applied Materials
0040-79926
SGD INNER COOL PLATE 300MM EMAX CTS
Applied Materials
0242-02653
1:1 LOCKOUT VALVE KIT CENTURA
Applied Materials
0100-09169
P5000 EPD / 8115 CPU
Applied Materials
0100-09009
BUFFER I/O BOARD
Applied Materials
0100-20453
DeviceNet Digital I/O Board
Applied Materials
0190-25905
Analog I/O VME PCB Card
Applied Materials
0100-09196
E Chuck Controller PCB Card
Applied Materials
0190-71355-01
INTERGRATED ANALOG Board
Applied Materials
0190-71355-09
INTERGRATED ANALOG Board
Applied Materials
0190-71353-01
INTERGRATED DIGITAL Board
 </t>
  </si>
  <si>
    <t xml:space="preserve">98263</t>
  </si>
  <si>
    <t xml:space="preserve">ULTIMA X</t>
  </si>
  <si>
    <t xml:space="preserve">HDP</t>
  </si>
  <si>
    <t xml:space="preserve">92045</t>
  </si>
  <si>
    <t xml:space="preserve">UV 5</t>
  </si>
  <si>
    <t xml:space="preserve">Wafer Inspection System</t>
  </si>
  <si>
    <t xml:space="preserve">-De-installed, warehoused, can be inspected by appointment. Please refer to 
the attached photos for the details of the item's condition etc.
Packing List
************
1 OF 4 MAIN BODY / EFEM
2 OF 4 LOAD PORT
3 OF 4 EXTERNAL RACK
4 OF 4 LIGHT CURTAIN</t>
  </si>
  <si>
    <t xml:space="preserve">102130</t>
  </si>
  <si>
    <t xml:space="preserve">UVision 200</t>
  </si>
  <si>
    <t xml:space="preserve">Bright-Field Inspection</t>
  </si>
  <si>
    <t xml:space="preserve">93395</t>
  </si>
  <si>
    <t xml:space="preserve">UVision 3</t>
  </si>
  <si>
    <t xml:space="preserve">102986</t>
  </si>
  <si>
    <t xml:space="preserve">Uvision 600SP</t>
  </si>
  <si>
    <t xml:space="preserve">Brightfield Inspection System</t>
  </si>
  <si>
    <t xml:space="preserve">Deinstalled, warehoused, can be inspected by appointment</t>
  </si>
  <si>
    <t xml:space="preserve">98264</t>
  </si>
  <si>
    <t xml:space="preserve">VANTAGE (Rediance 3.x)</t>
  </si>
  <si>
    <t xml:space="preserve">102131</t>
  </si>
  <si>
    <t xml:space="preserve">Vantage Vulcan</t>
  </si>
  <si>
    <t xml:space="preserve">102132</t>
  </si>
  <si>
    <t xml:space="preserve">102133</t>
  </si>
  <si>
    <t xml:space="preserve">102659</t>
  </si>
  <si>
    <t xml:space="preserve">Applied Materials </t>
  </si>
  <si>
    <t xml:space="preserve">Centura AP DPS II Metal</t>
  </si>
  <si>
    <t xml:space="preserve">Metal Etch 2 Ch DPS2 and 2 CH ASP</t>
  </si>
  <si>
    <r>
      <rPr>
        <sz val="8"/>
        <rFont val="Arial"/>
        <family val="0"/>
        <charset val="1"/>
      </rPr>
      <t xml:space="preserve">Tool has been de-installed and is stored in an off-site warehouse. [Chamber 
A] Chamber type:DPS2 G1Gas config.(sccm)=MFC full 
scaleBCL3(200</t>
    </r>
    <r>
      <rPr>
        <sz val="8"/>
        <rFont val="Noto Sans CJK SC"/>
        <family val="2"/>
        <charset val="1"/>
      </rPr>
      <t xml:space="preserve">）</t>
    </r>
    <r>
      <rPr>
        <sz val="8"/>
        <rFont val="Arial"/>
        <family val="0"/>
        <charset val="1"/>
      </rPr>
      <t xml:space="preserve">/CL2</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/O2(50)/N2</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/SF6</t>
    </r>
    <r>
      <rPr>
        <sz val="8"/>
        <rFont val="Noto Sans CJK SC"/>
        <family val="2"/>
        <charset val="1"/>
      </rPr>
      <t xml:space="preserve">（</t>
    </r>
    <r>
      <rPr>
        <sz val="8"/>
        <rFont val="Arial"/>
        <family val="0"/>
        <charset val="1"/>
      </rPr>
      <t xml:space="preserve">300</t>
    </r>
    <r>
      <rPr>
        <sz val="8"/>
        <rFont val="Noto Sans CJK SC"/>
        <family val="2"/>
        <charset val="1"/>
      </rPr>
      <t xml:space="preserve">）</t>
    </r>
    <r>
      <rPr>
        <sz val="8"/>
        <rFont val="Arial"/>
        <family val="0"/>
        <charset val="1"/>
      </rPr>
      <t xml:space="preserve">/CHF3</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/CF4</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/AR</t>
    </r>
    <r>
      <rPr>
        <sz val="8"/>
        <rFont val="Noto Sans CJK SC"/>
        <family val="2"/>
        <charset val="1"/>
      </rPr>
      <t xml:space="preserve">（</t>
    </r>
    <r>
      <rPr>
        <sz val="8"/>
        <rFont val="Arial"/>
        <family val="0"/>
        <charset val="1"/>
      </rPr>
      <t xml:space="preserve">400</t>
    </r>
    <r>
      <rPr>
        <sz val="8"/>
        <rFont val="Noto Sans CJK SC"/>
        <family val="2"/>
        <charset val="1"/>
      </rPr>
      <t xml:space="preserve">）</t>
    </r>
    <r>
      <rPr>
        <sz val="8"/>
        <rFont val="Arial"/>
        <family val="0"/>
        <charset val="1"/>
      </rPr>
      <t xml:space="preserve">Source 13.56MHz, 
max 3000 WBias 13.56MHz Hz, max  1500 WLid Temp Control ~95℃ESC Temp 
Control ~85℃[Chamber B]Chamber type:DPS2 G1Gas config.(sccm)=MFC full 
scaleBCL3(200</t>
    </r>
    <r>
      <rPr>
        <sz val="8"/>
        <rFont val="Noto Sans CJK SC"/>
        <family val="2"/>
        <charset val="1"/>
      </rPr>
      <t xml:space="preserve">）</t>
    </r>
    <r>
      <rPr>
        <sz val="8"/>
        <rFont val="Arial"/>
        <family val="0"/>
        <charset val="1"/>
      </rPr>
      <t xml:space="preserve">/CL2</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/O2(50)/N2</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/SF6</t>
    </r>
    <r>
      <rPr>
        <sz val="8"/>
        <rFont val="Noto Sans CJK SC"/>
        <family val="2"/>
        <charset val="1"/>
      </rPr>
      <t xml:space="preserve">（</t>
    </r>
    <r>
      <rPr>
        <sz val="8"/>
        <rFont val="Arial"/>
        <family val="0"/>
        <charset val="1"/>
      </rPr>
      <t xml:space="preserve">300</t>
    </r>
    <r>
      <rPr>
        <sz val="8"/>
        <rFont val="Noto Sans CJK SC"/>
        <family val="2"/>
        <charset val="1"/>
      </rPr>
      <t xml:space="preserve">）</t>
    </r>
    <r>
      <rPr>
        <sz val="8"/>
        <rFont val="Arial"/>
        <family val="0"/>
        <charset val="1"/>
      </rPr>
      <t xml:space="preserve">/CHF3</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/CF4</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/AR</t>
    </r>
    <r>
      <rPr>
        <sz val="8"/>
        <rFont val="Noto Sans CJK SC"/>
        <family val="2"/>
        <charset val="1"/>
      </rPr>
      <t xml:space="preserve">（</t>
    </r>
    <r>
      <rPr>
        <sz val="8"/>
        <rFont val="Arial"/>
        <family val="0"/>
        <charset val="1"/>
      </rPr>
      <t xml:space="preserve">400</t>
    </r>
    <r>
      <rPr>
        <sz val="8"/>
        <rFont val="Noto Sans CJK SC"/>
        <family val="2"/>
        <charset val="1"/>
      </rPr>
      <t xml:space="preserve">）</t>
    </r>
    <r>
      <rPr>
        <sz val="8"/>
        <rFont val="Arial"/>
        <family val="0"/>
        <charset val="1"/>
      </rPr>
      <t xml:space="preserve">Source 13.56MHz, 
max 3000 WBias 13.56MHz Hz, max  1500 WLid Temp Control ~95℃ESC Temp 
Control ~85℃[Chamber C]Chamber type:ASPGas config.(sccm)=MFC full 
scaleCF4</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/O2(10000</t>
    </r>
    <r>
      <rPr>
        <sz val="8"/>
        <rFont val="Noto Sans CJK SC"/>
        <family val="2"/>
        <charset val="1"/>
      </rPr>
      <t xml:space="preserve">）</t>
    </r>
    <r>
      <rPr>
        <sz val="8"/>
        <rFont val="Arial"/>
        <family val="0"/>
        <charset val="1"/>
      </rPr>
      <t xml:space="preserve">/N2</t>
    </r>
    <r>
      <rPr>
        <sz val="8"/>
        <rFont val="Noto Sans CJK SC"/>
        <family val="2"/>
        <charset val="1"/>
      </rPr>
      <t xml:space="preserve">（</t>
    </r>
    <r>
      <rPr>
        <sz val="8"/>
        <rFont val="Arial"/>
        <family val="0"/>
        <charset val="1"/>
      </rPr>
      <t xml:space="preserve">1000</t>
    </r>
    <r>
      <rPr>
        <sz val="8"/>
        <rFont val="Noto Sans CJK SC"/>
        <family val="2"/>
        <charset val="1"/>
      </rPr>
      <t xml:space="preserve">）</t>
    </r>
    <r>
      <rPr>
        <sz val="8"/>
        <rFont val="Arial"/>
        <family val="0"/>
        <charset val="1"/>
      </rPr>
      <t xml:space="preserve">H2O Vapor 3000sccmPower max 3000 W[Chamber 
D]Chamber type:ASPGas config.(sccm)=MFC full 
scaleCF4</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/O2(10000</t>
    </r>
    <r>
      <rPr>
        <sz val="8"/>
        <rFont val="Noto Sans CJK SC"/>
        <family val="2"/>
        <charset val="1"/>
      </rPr>
      <t xml:space="preserve">）</t>
    </r>
    <r>
      <rPr>
        <sz val="8"/>
        <rFont val="Arial"/>
        <family val="0"/>
        <charset val="1"/>
      </rPr>
      <t xml:space="preserve">/N2</t>
    </r>
    <r>
      <rPr>
        <sz val="8"/>
        <rFont val="Noto Sans CJK SC"/>
        <family val="2"/>
        <charset val="1"/>
      </rPr>
      <t xml:space="preserve">（</t>
    </r>
    <r>
      <rPr>
        <sz val="8"/>
        <rFont val="Arial"/>
        <family val="0"/>
        <charset val="1"/>
      </rPr>
      <t xml:space="preserve">1000</t>
    </r>
    <r>
      <rPr>
        <sz val="8"/>
        <rFont val="Noto Sans CJK SC"/>
        <family val="2"/>
        <charset val="1"/>
      </rPr>
      <t xml:space="preserve">）</t>
    </r>
    <r>
      <rPr>
        <sz val="8"/>
        <rFont val="Arial"/>
        <family val="0"/>
        <charset val="1"/>
      </rPr>
      <t xml:space="preserve">H2O Vapor 3000sccmPower max 3000 WOther 
Missing/Broken Parts: none.</t>
    </r>
  </si>
  <si>
    <t xml:space="preserve">102660</t>
  </si>
  <si>
    <r>
      <rPr>
        <sz val="8"/>
        <rFont val="Arial"/>
        <family val="0"/>
        <charset val="1"/>
      </rPr>
      <t xml:space="preserve">Used, In Warehouse - Not Crated Tool has been de-installed and is stored in 
an off-site warehouse. .[Chamber A] Chamber type:DPS2 G1Gas 
config.(sccm)=MFC full 
scaleBCL3(200</t>
    </r>
    <r>
      <rPr>
        <sz val="8"/>
        <rFont val="Noto Sans CJK SC"/>
        <family val="2"/>
        <charset val="1"/>
      </rPr>
      <t xml:space="preserve">）</t>
    </r>
    <r>
      <rPr>
        <sz val="8"/>
        <rFont val="Arial"/>
        <family val="0"/>
        <charset val="1"/>
      </rPr>
      <t xml:space="preserve">/CL2</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/O2(50)/N2</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/SF6</t>
    </r>
    <r>
      <rPr>
        <sz val="8"/>
        <rFont val="Noto Sans CJK SC"/>
        <family val="2"/>
        <charset val="1"/>
      </rPr>
      <t xml:space="preserve">（</t>
    </r>
    <r>
      <rPr>
        <sz val="8"/>
        <rFont val="Arial"/>
        <family val="0"/>
        <charset val="1"/>
      </rPr>
      <t xml:space="preserve">300</t>
    </r>
    <r>
      <rPr>
        <sz val="8"/>
        <rFont val="Noto Sans CJK SC"/>
        <family val="2"/>
        <charset val="1"/>
      </rPr>
      <t xml:space="preserve">）</t>
    </r>
    <r>
      <rPr>
        <sz val="8"/>
        <rFont val="Arial"/>
        <family val="0"/>
        <charset val="1"/>
      </rPr>
      <t xml:space="preserve">/CHF3</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/CF4</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/AR</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Source 
13.56MHz, max 3000 WBias 13.56MHz Hz, max  1500 WLid Temp Control ~95℃ESC 
Temp Control ~85℃[Chamber B]Chamber type:DPS2 G1Gas config.(sccm)=MFC full 
scaleBCL3(200</t>
    </r>
    <r>
      <rPr>
        <sz val="8"/>
        <rFont val="Noto Sans CJK SC"/>
        <family val="2"/>
        <charset val="1"/>
      </rPr>
      <t xml:space="preserve">）</t>
    </r>
    <r>
      <rPr>
        <sz val="8"/>
        <rFont val="Arial"/>
        <family val="0"/>
        <charset val="1"/>
      </rPr>
      <t xml:space="preserve">/CL2</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/O2(50)/N2</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/SF6</t>
    </r>
    <r>
      <rPr>
        <sz val="8"/>
        <rFont val="Noto Sans CJK SC"/>
        <family val="2"/>
        <charset val="1"/>
      </rPr>
      <t xml:space="preserve">（</t>
    </r>
    <r>
      <rPr>
        <sz val="8"/>
        <rFont val="Arial"/>
        <family val="0"/>
        <charset val="1"/>
      </rPr>
      <t xml:space="preserve">300</t>
    </r>
    <r>
      <rPr>
        <sz val="8"/>
        <rFont val="Noto Sans CJK SC"/>
        <family val="2"/>
        <charset val="1"/>
      </rPr>
      <t xml:space="preserve">）</t>
    </r>
    <r>
      <rPr>
        <sz val="8"/>
        <rFont val="Arial"/>
        <family val="0"/>
        <charset val="1"/>
      </rPr>
      <t xml:space="preserve">/CHF3</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/CF4</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/AR</t>
    </r>
    <r>
      <rPr>
        <sz val="8"/>
        <rFont val="Noto Sans CJK SC"/>
        <family val="2"/>
        <charset val="1"/>
      </rPr>
      <t xml:space="preserve">（</t>
    </r>
    <r>
      <rPr>
        <sz val="8"/>
        <rFont val="Arial"/>
        <family val="0"/>
        <charset val="1"/>
      </rPr>
      <t xml:space="preserve">200</t>
    </r>
    <r>
      <rPr>
        <sz val="8"/>
        <rFont val="Noto Sans CJK SC"/>
        <family val="2"/>
        <charset val="1"/>
      </rPr>
      <t xml:space="preserve">）</t>
    </r>
    <r>
      <rPr>
        <sz val="8"/>
        <rFont val="Arial"/>
        <family val="0"/>
        <charset val="1"/>
      </rPr>
      <t xml:space="preserve">Source 
13.56MHz, max 3000 WBias 13.56MHz Hz, max  1500 WLid Temp Control ~95℃ESC 
Temp Control ~85℃[Chamber C]Chamber type:ASPGas config.(sccm)=MFC full 
scaleCF4</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/O2(10000</t>
    </r>
    <r>
      <rPr>
        <sz val="8"/>
        <rFont val="Noto Sans CJK SC"/>
        <family val="2"/>
        <charset val="1"/>
      </rPr>
      <t xml:space="preserve">）</t>
    </r>
    <r>
      <rPr>
        <sz val="8"/>
        <rFont val="Arial"/>
        <family val="0"/>
        <charset val="1"/>
      </rPr>
      <t xml:space="preserve">/N2</t>
    </r>
    <r>
      <rPr>
        <sz val="8"/>
        <rFont val="Noto Sans CJK SC"/>
        <family val="2"/>
        <charset val="1"/>
      </rPr>
      <t xml:space="preserve">（</t>
    </r>
    <r>
      <rPr>
        <sz val="8"/>
        <rFont val="Arial"/>
        <family val="0"/>
        <charset val="1"/>
      </rPr>
      <t xml:space="preserve">1000</t>
    </r>
    <r>
      <rPr>
        <sz val="8"/>
        <rFont val="Noto Sans CJK SC"/>
        <family val="2"/>
        <charset val="1"/>
      </rPr>
      <t xml:space="preserve">）</t>
    </r>
    <r>
      <rPr>
        <sz val="8"/>
        <rFont val="Arial"/>
        <family val="0"/>
        <charset val="1"/>
      </rPr>
      <t xml:space="preserve">H2O Vapor 3000sccmPower max 3000 W[Chamber 
D]Chamber type:ASPGas config.(sccm)=MFC full 
scaleCF4</t>
    </r>
    <r>
      <rPr>
        <sz val="8"/>
        <rFont val="Noto Sans CJK SC"/>
        <family val="2"/>
        <charset val="1"/>
      </rPr>
      <t xml:space="preserve">（</t>
    </r>
    <r>
      <rPr>
        <sz val="8"/>
        <rFont val="Arial"/>
        <family val="0"/>
        <charset val="1"/>
      </rPr>
      <t xml:space="preserve">50</t>
    </r>
    <r>
      <rPr>
        <sz val="8"/>
        <rFont val="Noto Sans CJK SC"/>
        <family val="2"/>
        <charset val="1"/>
      </rPr>
      <t xml:space="preserve">）</t>
    </r>
    <r>
      <rPr>
        <sz val="8"/>
        <rFont val="Arial"/>
        <family val="0"/>
        <charset val="1"/>
      </rPr>
      <t xml:space="preserve">/O2(10000</t>
    </r>
    <r>
      <rPr>
        <sz val="8"/>
        <rFont val="Noto Sans CJK SC"/>
        <family val="2"/>
        <charset val="1"/>
      </rPr>
      <t xml:space="preserve">）</t>
    </r>
    <r>
      <rPr>
        <sz val="8"/>
        <rFont val="Arial"/>
        <family val="0"/>
        <charset val="1"/>
      </rPr>
      <t xml:space="preserve">/N2</t>
    </r>
    <r>
      <rPr>
        <sz val="8"/>
        <rFont val="Noto Sans CJK SC"/>
        <family val="2"/>
        <charset val="1"/>
      </rPr>
      <t xml:space="preserve">（</t>
    </r>
    <r>
      <rPr>
        <sz val="8"/>
        <rFont val="Arial"/>
        <family val="0"/>
        <charset val="1"/>
      </rPr>
      <t xml:space="preserve">1000</t>
    </r>
    <r>
      <rPr>
        <sz val="8"/>
        <rFont val="Noto Sans CJK SC"/>
        <family val="2"/>
        <charset val="1"/>
      </rPr>
      <t xml:space="preserve">）</t>
    </r>
    <r>
      <rPr>
        <sz val="8"/>
        <rFont val="Arial"/>
        <family val="0"/>
        <charset val="1"/>
      </rPr>
      <t xml:space="preserve">H2O Vapor 3000sccmPower max 3000 W</t>
    </r>
  </si>
  <si>
    <t xml:space="preserve">102661</t>
  </si>
  <si>
    <t xml:space="preserve">Centura AP Enabler</t>
  </si>
  <si>
    <t xml:space="preserve">Dielectric Etch - Etch/Ash/Clean – OXIDE Plasma Processing</t>
  </si>
  <si>
    <r>
      <rPr>
        <sz val="8"/>
        <rFont val="Arial"/>
        <family val="0"/>
        <charset val="1"/>
      </rPr>
      <t xml:space="preserve">Process: OXFrom original tool PO, please inspect to verifySoftware 
Revision: B2.8_79FI Software: FB4.70_12GEM Software: 7.20_17Wafer Size: 
Diameter 300+/- 0.05mm(SEMI M28), 775 +/- 25um, NotchOnline Connection: GEM 
/ CIM JGJ (Hardware Interface : Ethernet 100Base-Tx)Inter Face: 3 carrier 
stage (Continuous flow operation) w/ 3 Loadports (Semi compliant MENV and 
FMS assembliesInterface A: Hardware related to EDACorrosion Resistant FI &amp; 
SWLL: N/ALoader Mod Corrosion Prevent: N/AStandard SWLL: Side Storage Pod 
(Left/Right)OCR: KIT, YAT BACKSIDE OCR, 300MM 5.3FIFacility Plate: N2 
Regulator : Supplied by customer in floor, CDA regulator 125 PSI onboard 
SMC pressure switchFacility Plate: Manual Valve : Supplied by customer in 
floorFacility Plate: Pressure Gauge : Supplied by customer on regulator in 
floorTransfer Pressure Monitor: 10 Torr Manometer and 1SLM N2 APC, 
kitTransfer Pressure Monitor: GAUGE VAC MINI-CONVECTRON W/1-SETPOINT CAJON 
FTG analogLoad Lock Pressure Monitor: GAUGE VAC MINI-CONVECTRON 
W/1-SETPOINT CAJON FTG analogTransfer Chamber Blade Kit: Transfer Chamber 
Accelerator Blade KitLL ISO-Slit Valve Grp Elast.: AP Chemraz 513 
ElastomerAtmospheric Robot: KAWASAKI A3Mainframe Robot: VXP with Dual 
bladeWafer Pass Through: Not availableLoadport type: Enhanced 25 wafer 
FOUPLoadports: Loadport SystemOpen Cassettes Supported: N/AWater Leak 
Detector: ConfiguredEMO Type: Turn to Release (Front x3, Rear x4) - 3 on 
FI, 1 on front of FI and one on each side of FI. Rear: 1 for each process 
chamber.System Monitors: Monitor #1 is Flat Panel with Keyboard on stand / 
Monitor #2 is through the wall flat panel (optional)Cable Length: RF Cable 
: 2 cables 75 ft; 1Short CableCable Length: Mnitor Cable : 25 Ft 16ft 
effectiveCable Length: Pump Cable Length : 75 ft interface cableSignal 
Tower: Red/Yellow/Green/Blue ( Front x1 &amp; Center section of loadside and 
maintenance side x1)DNET LIGHT TOWER, 4 LIGHT COVER (RAGB) W/ CLR DAUGInter 
Lock: On board interlocks to dissable RFand gas flow at 1/2 atmos., and lid 
or gas panel door open.Inter Locks: On board interlocks to disable robots 
and slit doors when transfer lid or load lock lids are open.Certificate of 
Cleanliness: N/ARemote UPS Interface: N/AScrubber Interlock: N/AEtch Common 
AC Rack: Lean AC RackChiller (wall/source): NX20A(ZT150 /FC-3283 
coolant)0190-17815Chiller (Dual Zone Cathode): NX20A (ZT130 
/FC-3283coolant)Coolant: Galden ZT-130 for Cathode Galden ZT-150 for 
Wall/SourceChiller Hose Length: 75'RF Gen TOP (162Mhz Source): 3500W RF 
POWER SUPPLY, 162 MHZ, FIXED FREQUENCY, 208VAC, WATER COOLED (0190-29389)RF 
Gen #1 Bottom (13Mhz Bias): RF GENERATOR, 13MHZ 5KW, 300MM, RACK MOUNT) 
0190-15319RF Gen #2 Bottom (2 Mhz Bias): RF GEN PLASMA 9KW 2MHZ 
ENI)0190-29586RF Match: Y (0190-25187)IPUP Type: Alcatel A100L 
(0190-01042)Process Chb.1,2,3,&amp;4: (IAEF) Enabler (Front End-E5)Endpoint 
type (Eye-D): Endpoint type (Eye-D)(0246-00196)Plasma State Monitor: Plasma 
State Monitor (1 per system) (0190-17948)Spectrograph: EyeD HP 
Spectrongraph (0190-28658)ESC type (Dual Zone): ESC type (Dual Zone) 
(0010-33416)Cathode Base: Non-Anodized (0041-05779)Cathode N2 Purge: 
Cathode N2 Purge – YesL-collar Si Insert Ring: L-collar Single Crystal Si 
Insert Ring 1.5mm stepTMP: Shimadzu D3403M, 3000 litreTMP Back Pressure 
Monitor: 51A11TGA2BA003 (MKS) Foreline TransducerDry Pump: N(ESR80WN 
(EBARA) ; customer Supply)Final Valve, Heater: N/AWfib: Y(Wfib - Mod 
(Restriction at RTN))APC: VALVE THROTTLE GATE VF250-HA WITH NEW CLOSED 
POSITION SENSORSlit Valves: Anodized (AL) 513 ChemrzPressure Monitor: 1,000 
mt HeadPressure Monitor: 100 mt HeadPressure Monitor: Transducer 100 Torr 
Cal TankPressure Monitor: Chamber ATM Switch : 51A13TGA2AA720 (MKS)Pressure 
Monitor: Pressure Switch : 51A11TGA2BA010 (MKS), H2/fluoro gas Switch flow 
through 600TorrChamber Controller Module: SBC C400MHZ, 3U CPCI, 256MB 
RAMFES Server: FES ServerNSR# 621632-0: Enabler Chamber FRCII, ratio 
1000/1000NSR# 621638-0: Chamber First in Fab for IADB Enabler ChamberNSR# 
621638-0: Transforma run to run optionThottle Gate Valve (TGV): Throttle 
Gate Valve (TGV) – CeramicGas line 1- C4F6 100 sccm UNIT IFC-125Gas line 2- 
CH2F2 100 sccm UNIT IFC-125Gas line 3- CO 500 sccm UNIT IFC-125Gas line 4- 
O2_M 300 sccm UNIT-125Gas line 5- SO2 200 sccm UNIT IFC-125Gas line 6- CF4 
200 sccm UNIT IFC-125Gas line 7 - O2_IGI 20 sccm UNIT-125Gas line 8 - 
AR_IGI 500 sccm UNIT-125Gas line 9- O2_L 50 sccm UNIT-125Gas line 10- O2_H 
5000 sccm UNIT-125Gas line 11- Ar 2000 sccm UNIT-125Gas line 12- N2 200 
sccm UNIT-125Gas line 13- CHF3 200 sccm UNIT-125Gas line 14- C4F8 100 sccm 
UNIT-125Gas Pallet Type: NextGenGas Pallet: ASSY, FULL 6/1/1/6 PALLET, 
300MM ETCH NEXT GENRegulators: Regulator on SLD (Inlet to Gas Pannel, 1 per 
unique gas, 12 max, VCR connection)Valves: CKDTransducers: Transducers 
inside MFC'sFlow Ratio Controller (NSTU): Flow Ratio Controller (NTSU)IGI 
Interlock: N/AFilters: MYKROLIS (nickel, VCR, P/N 4020-01285), Nippon (VCR 
12 max, P/N 4020-00084)Gas Leak Detection Port: External Connection 
PointGas Panel Exhaust: Top ExhaustGas Panel Facilities Hook Up: Single 
Line DropPiping: Standard high purity stainless &amp; Exhaust through Gas 
boxFinal Pressure Switch: At 600 Torr coming from gas pallet, At chambers 
swithch pressure signal 10 torr half atmospherePurge: N2 (Process Grade 
N2)L-collar Single Crystal Si: L-COLLAR,Si-SIC 1.5MM 
STEP,E5(0200-08167)</t>
    </r>
    <r>
      <rPr>
        <sz val="8"/>
        <rFont val="Noto Sans CJK SC"/>
        <family val="2"/>
        <charset val="1"/>
      </rPr>
      <t xml:space="preserve">　</t>
    </r>
    <r>
      <rPr>
        <sz val="8"/>
        <rFont val="Arial"/>
        <family val="0"/>
        <charset val="1"/>
      </rPr>
      <t xml:space="preserve">Source Bottom Ring: QUARTZ RING SOURCE, 
E5(0200-07362)Quartz Barrier Ring: Quartz Barrier Ring (0200-03170)TGV 
o-ring: ORING ID 9.975 CSD .210 KALREZ (3700-04177)TGV Hard Stop – Ceramic: 
TGV Hard Stop – CeramicTGV Pads: TGV Pades (0041-03304)Source Chiller 
Bypass: Source Chiller BypassAnnular Baffle Heated: Annular Baffle 
HeatedCover, Lower Liner: Cover, Lower LinerUpper Liner: SUPPORT LINER 
(0040-37601)Process Kit: Process KitShowerhead Assy: SHOWER HEAD 
ASSY,HEATED,SiC,CENTER(0041-31209)Aluminum shims: POLYMER SHIMS ASSY, 
5519-SD WITH MYLAR</t>
    </r>
    <r>
      <rPr>
        <sz val="8"/>
        <rFont val="Noto Sans CJK SC"/>
        <family val="2"/>
        <charset val="1"/>
      </rPr>
      <t xml:space="preserve">　</t>
    </r>
    <r>
      <rPr>
        <sz val="8"/>
        <rFont val="Arial"/>
        <family val="0"/>
        <charset val="1"/>
      </rPr>
      <t xml:space="preserve">COVER, E5 CIP2(0045-00452)Plasma Containment Door: 
Plasma Containment DoorDamage/Missing parts list</t>
    </r>
  </si>
  <si>
    <t xml:space="preserve">102663</t>
  </si>
  <si>
    <t xml:space="preserve">Centura AP Ultima X</t>
  </si>
  <si>
    <t xml:space="preserve">HDP CVD 3 chamber Ultima</t>
  </si>
  <si>
    <t xml:space="preserve"> Installed - In Production Other missing or damaged parts: none.[Chamber 
A]Chamber Type:Ultima X HDP CVDGas Config(sccm)=MFC Full 
ScaleO2(1000)/NF3(100)/He(600)/SiH4((300)/H2(1000)/AR(1000)/H2(1000)/SiH4(50)/He(400)/NF3(200)/NF3(3000)/AR(3000)RF 
Source�1.8-2.17MHz, max�10000 WRF Bias���13.56MHz, max��9500WRF 
RPS���400kHz, max 6000W[Chamber B]Chamber Type:Ultima X HDP CVDGas 
Config(sccm)=MFC Full 
ScaleO2(1000)/NF3(100)/He(600)/SiH4((300)/H2(1000)/AR(1000)/H2(1000)/SiH4(50)/He(400)/NF3(200)/NF3(3000)/AR(3000)RF 
Source�1.8-2.17MHz, max�10000 WRF Bias���13.56MHz, max��9500WRF 
RPS���400kHz, max 6000W[Chamber C]Chamber Type:Ultima X HDP CVDGas 
Config(sccm)=MFC Full 
ScaleO2(1000)/NF3(100)/He(600)/SiH4((300)/H2(1000)/AR(1000)/H2(1000)/SiH4(50)/He(400)/NF3(200)/NF3(3000)/AR(3000)RF 
Source�1.8-2.17MHz, max�10000 WRF Bias���13.56MHz, max��9500WRF 
RPS���400kHz, max 6000W</t>
  </si>
  <si>
    <t xml:space="preserve">102664</t>
  </si>
  <si>
    <t xml:space="preserve"> Installed - In Production Hard Disk Drive will be removed from tool.Other 
missing or damaged parts: none.[Chamber A]Chamber Type:Ultima X HDP CVDGas 
Config(sccm)=MFC Full 
ScaleO2(1000)/NF3(100)/He(600)/SiH4((300)/H2(1000)/AR(1000)/H2(1000)/SiH4(50)/He(400)/NF3(200)/NF3(3000)/AR(3000)RF 
Source�1.8-2.17MHz, max�10000 WRF Bias���13.56MHz, max��9500WRF 
RPS���400kHz, max 6000W[Chamber B]Chamber Type:Ultima X HDP CVDGas 
Config(sccm)=MFC Full 
ScaleO2(1000)/NF3(100)/He(600)/SiH4((300)/H2(1000)/AR(1000)/H2(1000)/SiH4(50)/He(400)/NF3(200)/NF3(3000)/AR(3000)RF 
Source�1.8-2.17MHz, max�10000 WRF Bias���13.56MHz, max��9500WRF 
RPS���400kHz, max 6000W[Chamber C]Chamber Type:Ultima X HDP CVDGas 
Config(sccm)=MFC Full 
ScaleO2(1000)/NF3(100)/He(600)/SiH4((300)/H2(1000)/AR(1000)/H2(1000)/SiH4(50)/He(400)/NF3(200)/NF3(3000)/AR(3000)RF 
Source�1.8-2.17MHz, max�10000 WRF Bias���13.56MHz, max��9500WRF 
RPS���400kHz, max 6000W</t>
  </si>
  <si>
    <t xml:space="preserve">102662</t>
  </si>
  <si>
    <t xml:space="preserve">HDP CVD 3 chamber Ultima STI Process</t>
  </si>
  <si>
    <t xml:space="preserve"> HARD DISK DRIVE WILL BE REMOVED FROM TOOL.[Chamber A]Chamber Type:Ultima X 
HDP CVDGas Config(sccm)=MFC Full 
ScaleO2(400)/NF3(100)/HE(600)/SiH4(300)/H2(1000)/AR(1000)/SiH4(50)/HE(400)/NF3(200)/NF3(3000)/AR(3000)RF 
Source�1.8-2.17MHz, max�10000 WRF Bias���13.56MHz, max��9500WRF 
RPS���400kHz, max 6000W[Chamber B]Chamber Type:Ultima X HDP CVDGas 
Config(sccm)=MFC Full 
ScaleO2(400)/NF3(100)/HE(600)/SiH4(300)/H2(1000)/AR(1000)/SiH4(50)/HE(400)/NF3(200)/NF3(3000)/AR(3000)RF 
Source�1.8-2.17MHz, max�10000 WRF Bias���13.56MHz, max��9500WRF 
RPS���400kHz, max 6000W[Chamber C]Chamber Type:Ultima X HDP CVDGas 
Config(sccm)=MFC Full 
ScaleO2(400)/NF3(100)/HE(600)/SiH4(300)/H2(1000)/AR(1000)/SiH4(50)/HE(400)/NF3(200)/NF3(3000)/AR(3000)RF 
Source�1.8-2.17MHz, max�10000 WRF Bias���13.56MHz, max��9500WRF 
RPS���400kHz, max 6000WOther missing or damaged parts: none.Tool is running 
STI Process.</t>
  </si>
  <si>
    <t xml:space="preserve">102667</t>
  </si>
  <si>
    <t xml:space="preserve">Producer GT Eterna FCVD</t>
  </si>
  <si>
    <t xml:space="preserve">PECVD DCVD TYPE</t>
  </si>
  <si>
    <r>
      <rPr>
        <sz val="8"/>
        <rFont val="Arial"/>
        <family val="0"/>
        <charset val="1"/>
      </rPr>
      <t xml:space="preserve">Technology: DCVD Platform Type: Producer GT System Software: System 
software: B5.4_135FiCGUI: fB5.20_11GP: 8.10.21.2DTauMacros: 
9.2.44.0Mainframe Configuration: Robot type: 0190-37624Robot Blades: 
0200-08347LL preheater: 0090-05793slit valve door: 3870-05037MF pump: 
GX600N(EDWARDS)LL pump: EPX180L</t>
    </r>
    <r>
      <rPr>
        <sz val="8"/>
        <rFont val="Noto Sans CJK SC"/>
        <family val="2"/>
        <charset val="1"/>
      </rPr>
      <t xml:space="preserve">（</t>
    </r>
    <r>
      <rPr>
        <sz val="8"/>
        <rFont val="Arial"/>
        <family val="0"/>
        <charset val="1"/>
      </rPr>
      <t xml:space="preserve">EDWARDS</t>
    </r>
    <r>
      <rPr>
        <sz val="8"/>
        <rFont val="Noto Sans CJK SC"/>
        <family val="2"/>
        <charset val="1"/>
      </rPr>
      <t xml:space="preserve">）</t>
    </r>
    <r>
      <rPr>
        <sz val="8"/>
        <rFont val="Arial"/>
        <family val="0"/>
        <charset val="1"/>
      </rPr>
      <t xml:space="preserve">Diffucer: 0190-37371FCVD Chamber 
Configuration: Chamber Type: FCVD CHA/CBlocker: N/ALiner: 1 PiecePedestal: 
0010-42919Slit Valve: 3870-05037(KALREZ 9100)Filter: N/AForeline: 
6inForeline TV: 3870-06440Foreline ISO: 3870-06045Gas box: N/ADome: 
0041-26595Baffle : 0021-84368FACEPLATE: 0041-35370BLOCKER(gas feed block): 
0041-07625PUMPING LINER: 0021-64960LINER CERAMIC TOP: 0021-82788LINER 
CERAMIC MIDDLE: N/ALINER CERAMIC BOTTOM(edge ring): 0021-85102CERAMIC 
ISOLATOR: N/ALIFT PINS, FLOATING: 0200-08020LIFT HOOP: 0200-08334RPS: 
0190-40602Gas Pallet Type: ETERNA FCVD GT Twin PalletGas Box 
Configuration: Line 1: N2 PURGELine 2: NF3 - 10.0SLMLine 3: AR - 
10.0SLMLine 4: O2 - 250SCCMLine 5: O2 - 2.5SLMLine 6: N2 PURGELine 7: TSA - 
1.0SLMLine 8: HE - 5.0SLMLine 9: EMPTYLine 10: N2 PURGELine 11: NH3 - 
700SCCMLine 12: NH3 - 700SCCMLine 13: EMPTYLine 14: H2O - 1.0GLine 15: AR - 
5.0SLMLine 16: EMPTYLine 17: EMPTYLine 18: EMPTYLine 19: EMPTYLine 20: 
EMPTYLine 21: EMPTYLine 22: N2 PURGEUV Chamber Configuration: Chamber Type: 
UV HybridLAMPHEAD ASSEMBLY (DUAL): 0190-46008INNER PRIMARY REFLECTORS (x2): 
0200-09730OUTER PRIMARY REFLECTORS (x2): 0200-09728UV BULBS (MERCURY BULB 
x2): 0195-04092LAMPHEAD ENCLOSURE SEAL: 0021-28691LAMPHEAD TRAY: 
0021-44280LAMPHEAD TRAY MOUNTING SEAL: 0021-32043PULLEY ASSEMBLY (ROTATING 
WHEEL): 0010-44199LOWER DYNAMIC SEAL: 0190-31840LOWER CLAMP RING: 
0021-33232SECONDARY REFLECTOR ASSEMBLY: 0041-43990HOME SENSOR (SIDE 1 
ONLY): 0150-18683HOUSING: 0041-08307UPPER WINDOW CLAMP SIDE 1: 
0041-44565UPPER WINDOW CLAMP SIDE 2: 0041-44968QUARTZ WINDOW:  0200-05371 
Hereaus (CIP Quartz)LOWER WINDOW CLAMP: 0041-44966UPPER SHOWER HEAD: 
0200-13516 Hereaus (CIP Quartz)INTERMEDIATE SHOWER HEAD CLAMP: 
0041-44967LOWER SHOWER HEAD: 0200-13481 Hereaus (CIP Quartz)LOWER SHOWER 
HEAD CLAMP: 0021-94083RF DETECTOR: 0195-06361LAMPHEAD ROTATOR: 
3970-00044CERAMIC TOP LINER : 0200-10913INNER PUMPING LINER : 
0200-10914OUTER PUMPING LINER: 0200-10912ALUMINUM FILLER: 0021-84795CERAMIC 
MIDDLE LINER : 0200-13152CERAMIC BOTTOM LINER : 0200-10944LIFT PIN (Big 
foot): 0200-06110WEIGHT (Big foot): 0200-05795Ceramic Cap: 
0200-05307WASHER, WAVE, HAYNES: 0021-27777EQUALIZATION PORT LINER: 
0021-94377PUMPING CHANNEL HUB: 0041-36422PEDASTAL: 0041-33505SLIT VALVE 
DOOR: 0246-18185(Chemraz XPE)RPS: 0190-40602UV POWER SUPPER: 
0190-44835Foreline pipeing size: 4''Foreline TV / ISO COMBO VALVE: 
0190-42409Gas Pallet Type: BIMINI, YAD4, 7STK, REG, PROD GTGas Box 
Configuration: Line 1: Purge N2Line 2: NF3, 5slmLine 3: AR_CLN, 5slmLine 4: 
NALine 5: AR_TOP, 35slmLine 6: NALine 7: NALine 8: NALine 9: O3 DIVERTLine 
10: O3, 30slmLine 11: AR_BTM, 10slmLine 12: AR_SH, 2slmLine 13: NALine 14: 
NALine 15: NALine 16: NALine 17: NALine 18: NALine 19: NALine 20: NALine 
21: NALine 22: NAHeat exchanger: Heat exchanger 1: 0190-27732Heat exchanger 
2: 0190-27732Heat exchanger 3 (For UV): 0190-32036Ozone system: O3 
Generator: 0190-44053O3 Controller: 0195-08806Process Pump/Abatement: Pump 
CHA/C: iXH4550HTPump CHB: iXH1820Scrubber: DAS ESCAPE DUOMissing/Damaged 
Parts List:None report,</t>
    </r>
  </si>
  <si>
    <t xml:space="preserve">102668</t>
  </si>
  <si>
    <t xml:space="preserve">PECVD FCVD TYPE</t>
  </si>
  <si>
    <r>
      <rPr>
        <sz val="8"/>
        <rFont val="Arial"/>
        <family val="0"/>
        <charset val="1"/>
      </rPr>
      <t xml:space="preserve"> Installed - In Production Process: FCVD Chamber A/C: FCVDChamber B: UV 
HybridBasic System Technology: DCVDPlatform Type: Producer GTSystem 
SoftwareSystem software: B5.4_135FiCGUI: fB5.20_11GP: 8.10.21.2DTauMacros: 
9.2.44.0Mainframe ConfigurationRobot type: 0190-37624Robot Blades: 
0200-08347LL preheater: 0090-05793slit valve door: 3870-05037MF pump: 
GX600N(EDWARDS)LL pump: EPX180L</t>
    </r>
    <r>
      <rPr>
        <sz val="8"/>
        <rFont val="Noto Sans CJK SC"/>
        <family val="2"/>
        <charset val="1"/>
      </rPr>
      <t xml:space="preserve">（</t>
    </r>
    <r>
      <rPr>
        <sz val="8"/>
        <rFont val="Arial"/>
        <family val="0"/>
        <charset val="1"/>
      </rPr>
      <t xml:space="preserve">EDWARDS</t>
    </r>
    <r>
      <rPr>
        <sz val="8"/>
        <rFont val="Noto Sans CJK SC"/>
        <family val="2"/>
        <charset val="1"/>
      </rPr>
      <t xml:space="preserve">）</t>
    </r>
    <r>
      <rPr>
        <sz val="8"/>
        <rFont val="Arial"/>
        <family val="0"/>
        <charset val="1"/>
      </rPr>
      <t xml:space="preserve">Diffucer: 0190-37371FCVD Chamber 
ConfigurationChamber Type: FCVD CHA/CBlocker: N/ALiner: 1 PiecePedestal: 
0010-42919Slit Valve: 3870-05037(KALREZ 9100)Filter: N/AForeline: 
6inForeline TV: 3870-06440Foreline ISO: 3870-06045Gas box: N/ADome: 
0041-26595Baffle : 0021-84368FACEPLATE: 0041-35370BLOCKER(gas feed block): 
0041-07625PUMPING LINER: 0021-64960LINER CERAMIC TOP: 0021-82788LINER 
CERAMIC MIDDLE: N/ALINER CERAMIC BOTTOM(edge ring): 0021-85102CERAMIC 
ISOLATOR: N/ALIFT PINS, FLOATING: 0200-08020LIFT HOOP: 0200-08334RPS: 
0190-40602Gas Pallet Type: ETERNA FCVD GT Twin PalletGas Box 
Configuration: Line 1: N2 PURGELine 2: NF3 - 10.0SLMLine 3: AR - 
10.0SLMLine 4: O2 - 250SCCMLine 5: O2 - 2.5SLMLine 6: N2 PURGELine 7: TSA - 
1.0SLMLine 8: HE - 5.0SLMLine 9: EMPTYLine 10: N2 PURGELine 11: NH3 - 
700SCCMLine 12: NH3 - 700SCCMLine 13: EMPTYLine 14: H2O - 1.0GLine 15: AR - 
5.0SLMLine 16: EMPTYLine 17: EMPTYLine 18: EMPTYLine 19: EMPTYLine 20: 
EMPTYLine 21: EMPTYLine 22: N2 PURGEUV Chamber Configuration: Chamber Type: 
UV HybridLAMPHEAD ASSEMBLY (DUAL): 0190-46008INNER PRIMARY REFLECTORS (x2): 
0200-09730OUTER PRIMARY REFLECTORS (x2): 0200-09728UV BULBS (MERCURY BULB 
x2): 0195-04092LAMPHEAD ENCLOSURE SEAL: 0021-28691LAMPHEAD TRAY: 
0021-44280LAMPHEAD TRAY MOUNTING SEAL: 0021-32043PULLEY ASSEMBLY (ROTATING 
WHEEL): 0010-44199LOWER DYNAMIC SEAL: 0190-31840LOWER CLAMP RING: 
0021-33232SECONDARY REFLECTOR ASSEMBLY: 0041-43990HOME SENSOR (SIDE 1 
ONLY): 0150-18683HOUSING: 0041-08307UPPER WINDOW CLAMP SIDE 1: 
0041-44565UPPER WINDOW CLAMP SIDE 2: 0041-44968QUARTZ WINDOW: 0200-05371 
Hereaus (CIP Quartz)LOWER WINDOW CLAMP: 0041-44966UPPER SHOWER HEAD: 
0200-13516 Hereaus (CIP Quartz)INTERMEDIATE SHOWER HEAD CLAMP: 
0041-44967LOWER SHOWER HEAD: 0200-13481 Hereaus (CIP Quartz)LOWER SHOWER 
HEAD CLAMP: 0021-94083RF DETECTOR: 0195-06361LAMPHEAD ROTATOR: 
3970-00044CERAMIC TOP LINER : 0200-10913INNER PUMPING LINER : 
0200-10914OUTER PUMPING LINER: 0200-10912ALUMINUM FILLER: 0021-84795CERAMIC 
MIDDLE LINER : 0200-13152CERAMIC BOTTOM LINER : 0200-10944LIFT PIN (Big 
foot): 0200-06110WEIGHT (Big foot): 0200-05795Ceramic Cap: 
0200-05307WASHER, WAVE, HAYNES: 0021-27777EQUALIZATION PORT LINER: 
0021-94377PUMPING CHANNEL HUB: 0041-36422PEDASTAL: 0041-33505SLIT VALVE 
DOOR: 0246-18185(Chemraz XPE)RPS: 0190-40602UV POWER SUPPER: 
0190-44835Foreline pipeing size: 4''Foreline TV / ISO COMBO VALVE: 
0195-13439Gas Pallet Type: BIMINI, YAD4, 7STK, REG, PROD GTGas Box 
Configuration: Line 1: Purge N2Line 2: NF3, 5slmLine 3: AR_CLN, 5slmLine 4: 
NALine 5: AR_TOP, 35slmLine 6: NALine 7: NALine 8: NALine 9: O3 DIVERTLine 
10: O3 ,12slmLine 11: AR_BTM, 10slmLine 12: AR_SH, 2slmLine 13: NALine 14: 
NALine 15: NALine 16: NALine 17: NALine 18: NALine 19: NALine 20: NALine 
21: NALine 22: NAHeat exchangerHeat exchanger 1: 0190-27732Heat exchanger 
2: 0190-27732Heat exchanger 3 (For UV): 0190-32036Ozone systemO3 Generator: 
0190-44053O3 Controller: 0195-08806Process Pump/AbatementPump CHA/C: 
iXH4550HTPump CHB: iXH1820Scrubber: DAS ESCAPE DUODamage/Missing parts list</t>
    </r>
  </si>
  <si>
    <t xml:space="preserve">102669</t>
  </si>
  <si>
    <t xml:space="preserve">Producer SE APF</t>
  </si>
  <si>
    <t xml:space="preserve">PECVD 2CH APF</t>
  </si>
  <si>
    <t xml:space="preserve"> Installed - In Production Hard Disk Drive will be removed from tool.Other 
missing or damaged parts: none.[Chamber A]Chamber Type:APFGas 
Config(sccm)=MFC Full 
ScaleC3H6(3000)/NF3(1000)/O2(15000)/AR(10000)/HE(5000)/O2(10000)/Ar(10000)/N2(15000)/He(1000)RF 
HF��13.56MHz, max�3kWRemote plasma 400kHz,max 10kW[Chamber B]Chamber 
Type:APFGas Config(sccm)=MFC Full 
ScaleC3H6(3000)/NF3(1000)/O2(15000)/AR(10000)/HE(5000)/O2(10000)/Ar(10000)/N2(15000)/He(1000)RF 
HF��13.56MHz, max�3kWRemote plasma 400kHz,max 10kW</t>
  </si>
  <si>
    <t xml:space="preserve">102673</t>
  </si>
  <si>
    <t xml:space="preserve">SEMVision G3</t>
  </si>
  <si>
    <t xml:space="preserve">SEM - Defect Review (DR)</t>
  </si>
  <si>
    <t xml:space="preserve">102674</t>
  </si>
  <si>
    <t xml:space="preserve">102996</t>
  </si>
  <si>
    <t xml:space="preserve">Applied Materials AKT</t>
  </si>
  <si>
    <t xml:space="preserve">PVD Cluster Sputter (4 Chambers)</t>
  </si>
  <si>
    <t xml:space="preserve">300 mm square</t>
  </si>
  <si>
    <t xml:space="preserve">System currently configured for 300mm square substrates. Can be 
reconfigured to process 360mm x 460mm GEN2 FPD panels.</t>
  </si>
  <si>
    <t xml:space="preserve">103066</t>
  </si>
  <si>
    <t xml:space="preserve">PECVD (Chemical Vapor Deposition)</t>
  </si>
  <si>
    <t xml:space="preserve">Current Condition: In Fab - Disconnected, Decontaminated, Deinstalled - 4 
CH. 15 KAX - ParameterAMAT specification (10/5/15)Wafer size156mm x 156 mm 
(239cm2) substrates transported in a carrierCarrier sizeG6 (1500mm x 
1850mm) carrier capable of carrying &gt;/=99 wafer/carrierG5 (1200mm x 1300mm) 
carrier capable of carrying &gt;/=49 wafer/carrierHandlingG6: Robot max 
payload 60Kg: Capable of handling 5mm graphite carrier (Carrier/wafer 24kg 
+ EE 31Kg)� &gt;12 month lifetime for robot componentsG5: Robot max payload 
50Kg: Capable of handling 5mm graphite carrier (Carrier/wafer 14kg + EE 
27Kg)� &gt;12 month lifetime for robot componentsDepositionAmorphous silicon 
40-150 angstrom on waferThru-put per systemG5: &gt;/=70 carriers/hr - 4 
chamber config, 1 process step with 144s in recipe time.G6: &gt;/=70 
carriers/hr - 5 chamber config, 1 process step with 221s in recipe 
time.Thru-put per LLG6 (TSSL): &gt;/= 70 carrier/hr with venting time &lt; 
40secG5 (TSSL): &gt;/= 70 carrier/hr with venting time &lt; 40secProcess 
sequencesequential run for i and n layer, and individual run for 
othersSubstrate Exit Temperature&lt;100CBase pressure&lt;10m Torr (AMAT's STD 
pump base pressure, in process chambers)CVD Chamber Rate of 
Rise&lt;1.0mTorr/min,� AMAT STDPressure control0.2 to 5TorrDeposition 
Requirements for a-Si layerParameterAMAT for G5 toolGas flowSiH4(high), 
SiH4(low), H2(high), H2 (low), B2H6/H2, CH4, Ar, NF3, N2Generator PowerMax 
power 3KW, plasma sustainable at the power density &gt; 150W/m2 for 
40MHzDeposition Temperature150C-300CHeater Temperature Uniformity&lt; +/-10C 
(AMAT STD spec, on glass w TC)Deposition Requirements for a-Si 
layerParameterAMAT for G6 toolGas flowSiH4(high), SiH4(low), H2(high), H2 
(low), PH3/H2, Ar, NF3, N2, B2H6/H2 (Total 9)Generator PowerMax power 5KW, 
plasma sustainable at the power density &gt; 150W/m2 for 13.56MHzDeposition 
Temperature200-300CTemperature Uniformity&lt; +/-10C (AMAT STD spec, on glass) 
-</t>
  </si>
  <si>
    <t xml:space="preserve">87975</t>
  </si>
  <si>
    <t xml:space="preserve">ASE</t>
  </si>
  <si>
    <t xml:space="preserve">AMV-1000-27M-ASMGK-L</t>
  </si>
  <si>
    <t xml:space="preserve">87976</t>
  </si>
  <si>
    <t xml:space="preserve">AMV-1000-27M-ASMGK-R</t>
  </si>
  <si>
    <t xml:space="preserve">87977</t>
  </si>
  <si>
    <t xml:space="preserve">AMV-1000-AA</t>
  </si>
  <si>
    <t xml:space="preserve">87978</t>
  </si>
  <si>
    <t xml:space="preserve">AMV-1000-SMT</t>
  </si>
  <si>
    <t xml:space="preserve">87979</t>
  </si>
  <si>
    <t xml:space="preserve">TOP-MATCHER</t>
  </si>
  <si>
    <t xml:space="preserve">98857</t>
  </si>
  <si>
    <t xml:space="preserve">ASM</t>
  </si>
  <si>
    <t xml:space="preserve">A400 HT </t>
  </si>
  <si>
    <t xml:space="preserve">Vertical Furnace Oxide/Poly</t>
  </si>
  <si>
    <t xml:space="preserve">Deinstalled, Warehoused. Can be inspected by appointment
Basic configuration:
• ASMi A400 HT Oxide / Poly
• Vintage 1998
• Dual reactors /Dual boats
• Boat Rotation (poly)
• 5 temperature zones
• New CE certification</t>
  </si>
  <si>
    <t xml:space="preserve">102134</t>
  </si>
  <si>
    <t xml:space="preserve">A412</t>
  </si>
  <si>
    <t xml:space="preserve">LPCVD SiN &amp; SiN Twin Process Tube Vertical Furnace</t>
  </si>
  <si>
    <t xml:space="preserve">This furnace is not in working condition, and has missing / damaged parts.</t>
  </si>
  <si>
    <t xml:space="preserve">103067</t>
  </si>
  <si>
    <t xml:space="preserve">A412 Anneal</t>
  </si>
  <si>
    <t xml:space="preserve">Vertical Furnace - Furnaces/Diffusion Systems</t>
  </si>
  <si>
    <t xml:space="preserve">Current Condition: Installed - In Production – DIFFUSION ALOY ASM A412 
ANNEAL</t>
  </si>
  <si>
    <t xml:space="preserve">103068</t>
  </si>
  <si>
    <t xml:space="preserve">A412 Doped Poly</t>
  </si>
  <si>
    <t xml:space="preserve">Current Condition: Installed - In Production - Process: POLY - - Tool &amp; 
Auxillary Settings Software version: 6.80C Heater Type: MRL Loader 
configuration, 4 or 5 loader: 4 - Quartzware Configuration Outer tube: 
Quartz Inner tube: Quartz Boat: SiC boat Boat fix ring/Cap quartz: Quartz 
Adiabatic plate quantity: 6 Back N2, Qty: N/A BCl3, Qty &amp; Type (L-type, 
Straight, Diffuser, Shower): N/A SiH4, Qty &amp; Type (L-type, Straight, 
Diffuser, Shower): Multihole (1) U/D/L O2, Qty &amp; Type (L-type, Straight, 
Diffuser, Shower): Multihole (1) E PH3, Qty &amp; Type (L-type, Straight, 
Diffuser, Shower): Multihole (1) U/D/L ClF3, Qty &amp; Type (L-type, Straight, 
Diffuser, Shower): N/A - Vacuum Line configuration Design: original config 
10 Torr Baratron model: MKS 10 Torr Baratron full scale setting: 10(F/S) 
1000 Torr Baratron model: MKS 1000 Torr Baratron full scale setting: 
1000(F/S) ATM sensor model: MKS Vent Valve 1 (VV1) normally 
closed/open,plunger, diaphragm: Normally open,plunger Check valve model: 
Fujikin Check valve resistance pressure: 2.26 Kpa Mainvalve type, Kitz or 
CKD: MKS Slow valve, incorporated with mainvalve or separate(AV72,AV77): 
Separate (PV003) Slow valve orifice size: 2.0mm (PV003) Pressure range of 
vacuum gauge(Inficon Pirani gauge): 10T - Control Table Temp (Low Alarm 
Limit(deg)/High Alarm Limit(deg)/Check Time(min)): U: 0.7/0.7/30S CU: 
0.7/0.7/30S C: 0.7/0.7/30S CL: 0.7/0.7/30S L: 0.7/0.7/30S Pressure (Low 
Alarm Limit(Torr)/High Alarm Limit(Torr)/Check Time(S)): 0.02/0.02/30S 
MFC�(Low Alarm Limit(%)/High Alarm Limit(%)/Check Time(S)): MFC1: N2: 
2%/2%/10sec MFC2: N2: 2%/2%/10sec MFC3: N2: 2%/2%/10sec MFC4: N2: 
2%/2%/10sec MFC5: SiH4: 2%/2%/10sec MFC6: SiH4: 2%/2%/10sec MFC7: SiH4: 
2%/2%/10sec MFC8: 1%O2/Ar: 1%/1%/10sec MFC9: 5%PH3/N2: 2%/2%/10sec MFC10: 
5%PH3/N2: 2%/2%/10sec MFC11: 5%PH3/N2: 2%/2%/10sec MFC12: ClF3: 
10%/10%/10sec MFC13: N/A MFC14: N/A MFC15: N/A MFC16: N/A MFC17: N/A MFC18: 
N/A MFC19: N/A MFC20: N/A MFC21: N/A APC Valve Action (High (%), Low (%), 
Time(s)): N/A - Transfer Table Side Dummy: Upper:5 / Lower:10 Product: 100 
Monitor: 5 Product &amp; Monitor: 105 2nd charge time(min): 0 wafer cool 
time(min): 20min - Leak Rate Table Base pressure low Limit(Torr): 1% Base 
pressure High Limit(Torr): 1% Leak Check check time(s): 60s Leak Check 
delay time(s): N/A Leak limit(Torr): 1% Retry Limit(count): 2 Loadlock 
Settings Loadlock configuration O2 analyser model, NGK or Toray: PBI3.1 / 
PBI4.0 - Process: L/A Keep Value (ppm): 10ppm N2 Flow max (L): 1300L N2 
Flow min (L): 300L Check Stability Time(s): N/A - L/A Keep Value (ppm): 
10ppm N2 Flow max (L): 1300L N2 Flow min (L): 300L Check Stability Time(s): 
N/A - Idle: L/A Keep Value (ppm): 10ppm N2 Flow max (L): 1300L N2 Flow min 
(L): 300L Check Stability Time(s): N/A L/A O2 check time (min): N/A L/A O2 
limit (ppm): 10ppm POD opener O2 limit (ppm): N/A POD O2 check time(min): 
N/A POD check retry : N/A - Damage/Missing parts list</t>
  </si>
  <si>
    <t xml:space="preserve">97101</t>
  </si>
  <si>
    <t xml:space="preserve">AB599A</t>
  </si>
  <si>
    <t xml:space="preserve">Wedge Wire Bonder</t>
  </si>
  <si>
    <t xml:space="preserve">included workholder and microscope</t>
  </si>
  <si>
    <t xml:space="preserve">100626</t>
  </si>
  <si>
    <t xml:space="preserve">AD809A-03</t>
  </si>
  <si>
    <t xml:space="preserve">Die Bonder</t>
  </si>
  <si>
    <t xml:space="preserve">100627</t>
  </si>
  <si>
    <t xml:space="preserve">AD809C-00</t>
  </si>
  <si>
    <t xml:space="preserve">100628</t>
  </si>
  <si>
    <t xml:space="preserve">AD809S-00</t>
  </si>
  <si>
    <t xml:space="preserve">102498</t>
  </si>
  <si>
    <t xml:space="preserve">AD838L</t>
  </si>
  <si>
    <t xml:space="preserve">Excellent, complete and fully working condition, available for inspection.
Please check pictures below for more information.</t>
  </si>
  <si>
    <t xml:space="preserve">102504</t>
  </si>
  <si>
    <t xml:space="preserve">AeroLED</t>
  </si>
  <si>
    <t xml:space="preserve">Ball Bonder for RGB LED Panels</t>
  </si>
  <si>
    <t xml:space="preserve">The ASM AeroLED Ball Bonder is a PC controlled Thermosonic Ball Bonder 
designed for handling Laminate PCB panels. It consists of a very accurate 
voice coil controlled bond head mounted on a precision linear motor driven 
X/Y table, dual optics CCD controlled targeting system, a DSP controlled 
ultrasonic generator, PC based PR System using MMX technology and magazine 
to magazine elevator and indexer.
Standard Machine features and system description
Ultra-fine pitch and small ball bonding capabilities
High frequency transducer operating at 138 kHz
Applicable wire size of 0.6mil-2.0mil
High speed XY table with linear motor technology
High accuracy workholder with linear indexer
Multiple magazine input / output elevator system for magazines
Light weight voice-coil wire clamp assembly
Strong window clamp force
CCD camera with RR-mode capability and dual magnification optics
Individual target point programmable coaxial and ring LED lighting system
Built-in Inline Vision inspection system
Real time monitoring of bonding parameters bond force, bond power and 
position
Intelligent looping control incorporates auto tuning technology for loop 
trajectory profiling
Loop profiles to cover low loop, square loop, normal reverse, ground and 
J-wire looping
Enhanced EFO and non-stick detection control
Real time monitoring of FAB
Post-bond monitoring module (post bond inspection and statistical 
management system)
Menu and graphics driven man-machine interface
Combined hard disk and USB port for data and program storage
Features
• High speed and high resolution
• X-power dual directional transducer
• Precision ball size formation
• Easy loop programming feature (ECP)
• Copper bonding capable
• Real time monitoring features
• Full traceability logging
• Automatic magazine changing system
• Quick product changeover
• Low maintenance requirements
• Easy to change heat block and window clamp
WIRE BONDING CAPABILITIES
Wire Type
Au, Cu, Ag
Wire Size
0.5 - 2.0 mil
Speed
Up to 24 wires/sec
Accuracy
±3.0 um @ 3 σ
MATERIAL HANDLING CAPABILITIES
True Bonding Area 56 - 90 mm
Leadframe Length 140 - 300 mm
Width &lt;= 100 mm
Thickness 0.1 - 0.8 mm
Magazine Length 140 - 305 mm
Width 32 - 115 mm
Height &lt;= 180 mm
MACHINE DETAILS
Width 1,200 mm
Depth 900 mm
Height 1,760 mm
Weight 800 kg
POWER
1200 W VOLTAGE 220 VAC
CYCLES 50/60 Hz
AIR PRESSURE 5 BAR, 150 LPM
Spare Parts Kit available for extra cost.
Video demo avaiable upon request</t>
  </si>
  <si>
    <t xml:space="preserve">97102</t>
  </si>
  <si>
    <t xml:space="preserve">AS899</t>
  </si>
  <si>
    <t xml:space="preserve">Pick and Place Die Bonder</t>
  </si>
  <si>
    <t xml:space="preserve">83605</t>
  </si>
  <si>
    <t xml:space="preserve">DS 830</t>
  </si>
  <si>
    <t xml:space="preserve">Double Head Dispenser, left: Magazin, right: Leadframe</t>
  </si>
  <si>
    <t xml:space="preserve">102682</t>
  </si>
  <si>
    <t xml:space="preserve">Eagle XP</t>
  </si>
  <si>
    <t xml:space="preserve">4 Chamber TEOS PE CVD</t>
  </si>
  <si>
    <t xml:space="preserve"> Installed - In Production Hard Disk Drive will be removed from tool.Other 
missing or damaged parts: none.[Chamber A]Process: P-TEOSHard: 
CVDGas(sccm): Ar(7000), Ar(500), He(2000), N2(5000), NF3(3000), O2(3000), 
TEOS(300)RPU: 446kHz/3000WHRF: 13.56MHz/1000W[Chamber B]Process: 
P-TEOSHard: CVDGas(sccm): Ar(7000), Ar(500), He(2000), N2(5000), NF3(3000), 
O2(3000), TEOS(300)RPU: 446kHz/3000WHRF: 13.56MHz/1000WLRF: 
430kHz/1000W[Chamber C]Process: P-TEOSHard: CVDGas(sccm): Ar(7000), 
Ar(500), He(2000), N2(5000), NF3(3000), O2(3000), TEOS(300)RPU: 
446kHz/3000WHRF: 13.56MHz/1000WLRF: 430kHz/1000W[Chamber D]Process: 
P-TEOSHard: CVDGas(sccm): Ar(7000), Ar(500), He(2000), N2(5000), NF3(3000), 
O2(3000), TEOS(300)RPU: 446kHz/3000WHRF: 13.56MHz/1000WLRF: 430kHz/1000W</t>
  </si>
  <si>
    <t xml:space="preserve">102135</t>
  </si>
  <si>
    <t xml:space="preserve">ASM Eagle XP with 2x Pulsar and 2xEmerald</t>
  </si>
  <si>
    <t xml:space="preserve">103069</t>
  </si>
  <si>
    <t xml:space="preserve">Eagle XP4</t>
  </si>
  <si>
    <t xml:space="preserve">ALD (Atomic Layer Deposition)</t>
  </si>
  <si>
    <r>
      <rPr>
        <sz val="8"/>
        <rFont val="Arial"/>
        <family val="0"/>
        <charset val="1"/>
      </rPr>
      <t xml:space="preserve"> States</t>
    </r>
    <r>
      <rPr>
        <sz val="8"/>
        <rFont val="Noto Sans CJK SC"/>
        <family val="2"/>
        <charset val="1"/>
      </rPr>
      <t xml:space="preserve">：</t>
    </r>
    <r>
      <rPr>
        <sz val="8"/>
        <rFont val="Arial"/>
        <family val="0"/>
        <charset val="1"/>
      </rPr>
      <t xml:space="preserve">NS OFF. Equipment configuration </t>
    </r>
    <r>
      <rPr>
        <sz val="8"/>
        <rFont val="Noto Sans CJK SC"/>
        <family val="2"/>
        <charset val="1"/>
      </rPr>
      <t xml:space="preserve">：</t>
    </r>
    <r>
      <rPr>
        <sz val="8"/>
        <rFont val="Arial"/>
        <family val="0"/>
        <charset val="1"/>
      </rPr>
      <t xml:space="preserve">LOADPORT*3 &amp; MAIN FRAME*1 &amp; 
CHAMBER*2</t>
    </r>
  </si>
  <si>
    <t xml:space="preserve">102683</t>
  </si>
  <si>
    <t xml:space="preserve">Eagle-12 Rapidfire</t>
  </si>
  <si>
    <t xml:space="preserve">3 Chamber TEOS PE CVD</t>
  </si>
  <si>
    <t xml:space="preserve"> Installed - In Production Hard Disk Drive will be removed from tool.Other 
missing or damaged parts: none.[Chamber A]Process: P-TEOS/TMPHard: 
CVDGas(sccm): Ar(7000), Ar(500), He(2000), N2(5000), NF3(3000), O2(3000), 
TEOS(300), TMP(60)RPU: 400kHz/3000WHRF: 13.56MHz/1000WLRF: 
430kHz/1000W[Chamber B]Process: P-TEOS/TMPHard: CVDGas(sccm): Ar(7000), 
Ar(500), He(2000), N2(5000), NF3(3000), O2(3000), TEOS(300), TMP(60)RPU: 
400kHz/3000WHRF: 13.56MHz/1000WLRF: 430kHz/1000W[Chamber C]Process: 
P-TEOS/TMPHard: CVDGas(sccm): Ar(7000), Ar(500), He(2000), N2(5000), 
NF3(3000), O2(3000), TEOS(300), TMP(60)RPU: 400kHz/3000WHRF: 
13.56MHz/1000WLRF: 430kHz/1000W</t>
  </si>
  <si>
    <t xml:space="preserve">90363</t>
  </si>
  <si>
    <t xml:space="preserve">Epsilon 2000</t>
  </si>
  <si>
    <t xml:space="preserve">EPI reactor (RH, ATM)</t>
  </si>
  <si>
    <t xml:space="preserve">Operational in mid 2018.
Right handed ATM configuration
Wafer size (primary) : 8", standard pitch
Power supply : 50 Hz
System software : as equipped 7.25 (Licence not included)
ASM gate valve
Multi Port injector
New gas panel; all MFCs will be calibrated in H2 unless otherwise stated
AP Tech valves, AP Tech regulators, STEC Horiba MFCs
Nitrogen (N2) purge
Hydrogen (H2) carrier and purge, 200slm
Hydrogen chloride (HCl) wafer and chamber etch, 20slm
Low Flow Hydrogen chloride (HCl) , 2slm
Dopant #1, diborane (B2H6) P-dopant, diluent and inject, 20/200/200
Dopant #2, phosphine (PH3) or arsine (AsH3) N-dopant, diluent and inject, 
20/200/200 (Teed iinlet)
Auxiliary #1 Lorex Piezocon Trichlorosilane (SiHCl3, liquid) Controller
Auxiliary #2 SiH2Cl2 flow loop
HCL Sensing
Qty 2 wafer carriers 200mm
Graphite: Toyo Tanso
Susceptor ring: 200 mm square
Susceptor: 200 mm standard grid
1 Quartz chamber: 200 mm square graphite, OP3 flanges, long tubulation
Refurbished gold set
adjustable Lamp spotlights
New TC's: Conax
LAMPS: Rhenium Alloys
Reduced Footprint 1.0
2 x LCD touchscreens (As E2000+)</t>
  </si>
  <si>
    <t xml:space="preserve">92349</t>
  </si>
  <si>
    <t xml:space="preserve">Epsilon 3200</t>
  </si>
  <si>
    <t xml:space="preserve">Epitaxial Deposition, RP</t>
  </si>
  <si>
    <t xml:space="preserve">Configuration:-
- Still in the fab, but not hooked up
- s/w version V7.50
- 2 X ASYST SMIF loaders
- Fab interface robot type: ASYST
- Transfer robot type: Genmark
-Left handed
-Graphite: XY Carb, Deep Grid self-centering susceptor
-PSU: 50 Hz 480V
-Reactor pump: Ebara
-Software options: HSMS GEM/SECS E87, I/F A, Supervisor site licence , 
supervisor workstation licence qty 3
FRONT END I/F
-RF ID READER QTY 2
-BALLROOM CONFIG.
-LIGHT TOWER - 4 POSITION
TOUCHSCREEN
-Door-mounted user touchscreen
WAFER HANDLING SECTION
-Dual 25 wafer l/l
-Level 2 vacuum l/l
-Bernoulli wand
REACTOR MODULE
-HCl detector
-TEK
GAS CONTROL MODULE
Gas Box configuration:-
N2
H2 100 slm
HCl 30 slm
Low Flow HCl 500 sccm
Dopant 1 Diborane 20/200/200 (20 slm dilution MFC to be non-multi-flow).
AUX 1 DCS 500 sccm
AUX 2 GeH4 350 sccm 1% GeH4 in H2
AUX 3 CH6Si 200 sccm 20% CH6Si in H2
AUX 4 SiH4 500 sccm
AUX 5 Reserve for futire silcore loop
-Incoming Check valves qty 7
-MFC Type: Unit 8161 Digital
-Precision vent matching
-Mass Flow Verifier
-50 liter canister
-HCl detector - gas module
FACILITIES AND MAINTENANCE
-Pneumatic Gas Valve Backup Valving
-Center Thermocouple positioning fixture
-SideCar Purifier Cabinet (High Flow Version)
-Integrated Sidecar
-Standard Length wiring (75 ft)
-Quartz chamber tong
FACILITY CONNECTIONS
BOTTOM SERVICES:-
RP EXHAUST
ATM EXHAUST
COOLING WAFER
PROCESS GASES
WAFER HANDLING RP EXHAUST
ELECT. CONNECTIONS
TOP SERVICES:-
WAFER HANDLING ATM EXHAUST
N2 INPUT TO WHS
POWER MODULE
AIR EXHAUST CONNECTIONS
</t>
  </si>
  <si>
    <t xml:space="preserve">102136</t>
  </si>
  <si>
    <t xml:space="preserve">Reduced Pressure EPI Reactor</t>
  </si>
  <si>
    <t xml:space="preserve">83603</t>
  </si>
  <si>
    <t xml:space="preserve">IBE 139H</t>
  </si>
  <si>
    <t xml:space="preserve">Rotary Station then Buffered in Magazine and from Magazine to Wirebonder</t>
  </si>
  <si>
    <t xml:space="preserve">102948</t>
  </si>
  <si>
    <t xml:space="preserve">IBE139</t>
  </si>
  <si>
    <t xml:space="preserve">Auto-Loader for Wire Bonder</t>
  </si>
  <si>
    <t xml:space="preserve">Please check the pictures below for more information.</t>
  </si>
  <si>
    <t xml:space="preserve">102625</t>
  </si>
  <si>
    <t xml:space="preserve">IS8912DA</t>
  </si>
  <si>
    <t xml:space="preserve">Please check pictures below for more information</t>
  </si>
  <si>
    <t xml:space="preserve">83602</t>
  </si>
  <si>
    <t xml:space="preserve">MC 609H</t>
  </si>
  <si>
    <t xml:space="preserve">left:Leadframe in Magazine, transport in one of the ten Ovens, Cooling Station, right side: Leadframe out of Magazine</t>
  </si>
  <si>
    <t xml:space="preserve">83607</t>
  </si>
  <si>
    <t xml:space="preserve">98443</t>
  </si>
  <si>
    <t xml:space="preserve">MS896</t>
  </si>
  <si>
    <t xml:space="preserve">LED sorter</t>
  </si>
  <si>
    <t xml:space="preserve">100mm</t>
  </si>
  <si>
    <t xml:space="preserve">Deinstalled, warehoused. Can be inspected by appointment</t>
  </si>
  <si>
    <t xml:space="preserve">102626</t>
  </si>
  <si>
    <t xml:space="preserve">SIPLACE SX4</t>
  </si>
  <si>
    <t xml:space="preserve">Chip Mounter</t>
  </si>
  <si>
    <t xml:space="preserve">fair</t>
  </si>
  <si>
    <t xml:space="preserve">83609</t>
  </si>
  <si>
    <t xml:space="preserve">SLS 230T</t>
  </si>
  <si>
    <t xml:space="preserve">left: IC cup and testing good/bad and than sorting in small tube</t>
  </si>
  <si>
    <t xml:space="preserve">83611</t>
  </si>
  <si>
    <t xml:space="preserve">SLT400</t>
  </si>
  <si>
    <t xml:space="preserve">left: IC cup, Taping on Reel</t>
  </si>
  <si>
    <t xml:space="preserve">83610</t>
  </si>
  <si>
    <t xml:space="preserve">TLB 203EX</t>
  </si>
  <si>
    <t xml:space="preserve">Testing</t>
  </si>
  <si>
    <t xml:space="preserve">98444</t>
  </si>
  <si>
    <t xml:space="preserve">WS896</t>
  </si>
  <si>
    <t xml:space="preserve">83601</t>
  </si>
  <si>
    <t xml:space="preserve">Extraction and Inspection of the Leadframe</t>
  </si>
  <si>
    <t xml:space="preserve">83606</t>
  </si>
  <si>
    <t xml:space="preserve">101639</t>
  </si>
  <si>
    <t xml:space="preserve">ASM </t>
  </si>
  <si>
    <t xml:space="preserve">15-H-076-02</t>
  </si>
  <si>
    <t xml:space="preserve">Susceptor Heater</t>
  </si>
  <si>
    <t xml:space="preserve">102488</t>
  </si>
  <si>
    <t xml:space="preserve">ASML</t>
  </si>
  <si>
    <t xml:space="preserve">402.666.19811</t>
  </si>
  <si>
    <t xml:space="preserve">Nitrogen Purge Unit MK4.1</t>
  </si>
  <si>
    <t xml:space="preserve">101640</t>
  </si>
  <si>
    <t xml:space="preserve">4022.480.1707</t>
  </si>
  <si>
    <t xml:space="preserve">SCARA Robot</t>
  </si>
  <si>
    <t xml:space="preserve">101641</t>
  </si>
  <si>
    <t xml:space="preserve">4022.630.82102</t>
  </si>
  <si>
    <t xml:space="preserve">101791</t>
  </si>
  <si>
    <t xml:space="preserve">AT-1150C</t>
  </si>
  <si>
    <t xml:space="preserve">Stepper</t>
  </si>
  <si>
    <t xml:space="preserve">102858</t>
  </si>
  <si>
    <t xml:space="preserve">PAS5500/300C</t>
  </si>
  <si>
    <t xml:space="preserve">DUV Stepper - Lens Unit only</t>
  </si>
  <si>
    <t xml:space="preserve">DUV Stepper - Lens Unit, Cables and Panels only</t>
  </si>
  <si>
    <t xml:space="preserve">95949</t>
  </si>
  <si>
    <t xml:space="preserve">XT-1700Fi</t>
  </si>
  <si>
    <t xml:space="preserve">Immersion ArF Scanner</t>
  </si>
  <si>
    <t xml:space="preserve">The TWINSCAN XT:1700Fi scanner is a high-throughput, 2 stage, immersion 
lithography tool for 300-mm wafer production at 50-nm resolution and below. 
The 1.2-NA in-line catadioptric lens. is mechanically stable lens design 
with the same image orientation as refractive lenses, permitting the use of 
refractive reticle sets. The illuminator has polarization at maximum 
throughput, with homogeneous pupil fill, for use with ultra low-k1 pupil 
shapes. Standard as well as customized illumination modes can be optimized 
using the polarization mode, allowing a maximization of the contrast whilst 
reducing the mask error factor per application.
The stage has faster acceleration and reduced immersion-related slowing, 
allowing a throughput of 122 wph.
The XT:1700Fi has an extended Ultra-k1 package, consisting of QUASAR XL, 
LithoGuide, ILIAS, DoseMapper, Reticle Shape Correction, CDFEC and Focus 
Spot Monitor.
Key Features and Benefits.
1.2-NA 193-nm Catadioptric Projection Lens
Production resolution down to 50 nm (annular) and 45 nm (dipole). In-line 
catadioptric lens design, supporting full 26x33-mm field, 4X reduction and 
reticle compatibility with existing refractive sets.
Immersion Dual-Stage Technology
Dual-stage with high-speed closing disk supports continuous water flow 
during stage swap with minimum slowing.
AERIAL XP Polarized Illuminator
Extended range of conventional and off-axis illumination. Polarization 
reduces the mask error factor, and can lower the resolution by up to 5 nm, 
at full throughput.
6-kHz ArF Laser Technology
High laser power for high throughput and efficient use of laser pulses for 
lower laser cost of operation and optimum dose performance.
Performance Summary
*******************
Lens NA: Variable, 0.75-1.20
Resolution: Less than or equal to 45 nm
Field Size: 26 x 33 mm
Overlay: 16 point alignment: Less than or equal to 7 nm (Single machine 
overlay includes TOP package.).
Throughput:  greater than or equal to 122 wph (On 300 mm wafers, with 30 
mJ/cm2/125 shots per wafer.).
Configuration: Gas line: CO2,F2/Ar/Ne,Ar/Xe/Ne
Status: Power down, Not packed
Condition: Not working
Missing Parts: None
Laser type: Gigaphoton GT60A4
Broken Parts: See accompanying worksheet
Description 	Status
PWR SUP +5V/+15V-15V 14/4/4A 	Broken &amp; Not Repared
PSDC 250/25 PREMIUM 24VSAFE 	Broken &amp; Not Repared
PAAC 450/20 R PPCA 	Broken &amp; Not Repared
4-CH POWER AMP CTRL01 PPCA 	Broken &amp; Not Repared
LISAF 3P ASSY 	Broken &amp; Not Repared
PSDC 59/22 ASSY 	Broken &amp; Not Repared
PADC 100/18 ASSY 	Broken &amp; Not Repared
PAAC 550/25 1100V-FET ASSY 	Broken &amp; Not Repared
MULTI CHANNEL PAC PPCA 	Broken &amp; Not Repared
ETHERNET SWITCH 10/100MB 24X 	Broken &amp; Not Repared
PHASE MEASUREMENT BOARD PHASE2 	Broken &amp; Not Repared
SHB ECAB COMPONENT BOX 	Broken &amp; Not Repared
MCCB2 P3M7448B MK2.1 ASSY 	Broken &amp; Not Repared
HEIDENHEIN INTERPOL PPCA V2.2 	Broken &amp; Not Repared
HIGH ENCORDER RESORESOLUTION BRD 3 	Broken &amp; Not Repared
WH PID MK3 PPCA 	Broken &amp; Not Repared
RH LIOS LATCH MK3+PPCA SW4.1+ 	Broken &amp; Not Repared
SHIFT-IN SHIFT-OUT CTRL3.1 	Broken &amp; Not Repared
RH IRIS XT PPD ASSY 	Broken &amp; Not Repared
RS LNS COO (LCSA3) ASSY 	Broken &amp; Not Repared</t>
  </si>
  <si>
    <t xml:space="preserve">102137</t>
  </si>
  <si>
    <t xml:space="preserve">XT1250B</t>
  </si>
  <si>
    <t xml:space="preserve">ArF Lithography Scanner</t>
  </si>
  <si>
    <t xml:space="preserve">102138</t>
  </si>
  <si>
    <t xml:space="preserve">XT1250D</t>
  </si>
  <si>
    <t xml:space="preserve">102139</t>
  </si>
  <si>
    <t xml:space="preserve">101844</t>
  </si>
  <si>
    <t xml:space="preserve">XT1700Fi</t>
  </si>
  <si>
    <t xml:space="preserve">ArF immersion lithography system</t>
  </si>
  <si>
    <t xml:space="preserve">1. HW Configuration Summary
- Load Module, Process Module, Utility
2. HW Configuration Image
-Main body
-Projection Lens
-Wafer stage
-reicle stage
-AOM Laser
-Bottom Module Spacer
-EIM
-ELEC
-Excimer Laser
-BSM
-ACC
-Charcoal Filter
-GPS
-MCWC
-LCWC
-WSRC
-RSRC
-MDC
-WICC
-WISC
3. Twinscan XT: 1700Fi System Acceptance Tests
-Overlay, Intensity, Projection Lens, Illumination
-Pupil Verification, Focus and leveling, Dynamic Performance
-BMWL - Fine, TSPE, SWZS
4. Status of the System
-Imaging, Metrology, Production Control
-Wafer Alignment &amp; Levelling, Image alignment &amp; quality
-Support, Wafer Flow, Reticle Flow 
Please check pictures below for more information.</t>
  </si>
  <si>
    <t xml:space="preserve">102841</t>
  </si>
  <si>
    <t xml:space="preserve">Immersion DUV Exposure Tool (193 nm)</t>
  </si>
  <si>
    <t xml:space="preserve">Tool subject to bidding:
- Further Schedule : 
  Official Bid Announcement : the 4th week of April, 2021
  Inspection, Bid submission : May, 2021
  De-installation : the 3rd week of July, 2021
- Remark : HDD included</t>
  </si>
  <si>
    <t xml:space="preserve">102859</t>
  </si>
  <si>
    <t xml:space="preserve">Immersion Scanner (Spare Parts Only)</t>
  </si>
  <si>
    <t xml:space="preserve">Spare Parts and Modules</t>
  </si>
  <si>
    <t xml:space="preserve">102140</t>
  </si>
  <si>
    <t xml:space="preserve">XT1700Gi</t>
  </si>
  <si>
    <t xml:space="preserve">Immersion Lithography</t>
  </si>
  <si>
    <t xml:space="preserve">98265</t>
  </si>
  <si>
    <t xml:space="preserve">XT760F</t>
  </si>
  <si>
    <t xml:space="preserve">DUV Scanner</t>
  </si>
  <si>
    <t xml:space="preserve">97046</t>
  </si>
  <si>
    <t xml:space="preserve">Yeldstar S-100</t>
  </si>
  <si>
    <t xml:space="preserve">Advanced Process Control / Yield Opimization System</t>
  </si>
  <si>
    <t xml:space="preserve">Plese check pictures below for more information.
More specs available on request.</t>
  </si>
  <si>
    <t xml:space="preserve">103070</t>
  </si>
  <si>
    <t xml:space="preserve">YieldStar S-250</t>
  </si>
  <si>
    <t xml:space="preserve">Overlay Measurement System  </t>
  </si>
  <si>
    <t xml:space="preserve">87980</t>
  </si>
  <si>
    <t xml:space="preserve">ASTEK</t>
  </si>
  <si>
    <t xml:space="preserve">ARX-X491</t>
  </si>
  <si>
    <t xml:space="preserve">87981</t>
  </si>
  <si>
    <t xml:space="preserve">ATL-100RA</t>
  </si>
  <si>
    <t xml:space="preserve">103023</t>
  </si>
  <si>
    <t xml:space="preserve">Asymtek</t>
  </si>
  <si>
    <t xml:space="preserve">402</t>
  </si>
  <si>
    <t xml:space="preserve">Automated Fluid Dispensing System</t>
  </si>
  <si>
    <t xml:space="preserve">SMT</t>
  </si>
  <si>
    <t xml:space="preserve">Highly configurable, automatic fluid dispenser providing exceptional 
dispensing accuracy and throughput.�Can be programmed to dispense dots or 
continuous lines for applications ranging from surface mount electronics to 
form in place gasketing.�Uses an easy step by step programming 
approach.�Dispense Area: 12 in. x 12 in.�Benchtop configuration.No dispense 
head included.�100-240V, 1 Ph, 50/60 Hz, 2/1A</t>
  </si>
  <si>
    <t xml:space="preserve">87552</t>
  </si>
  <si>
    <t xml:space="preserve">ASYMTEK</t>
  </si>
  <si>
    <t xml:space="preserve">Millenium 620</t>
  </si>
  <si>
    <t xml:space="preserve">Glue Dispense Tool</t>
  </si>
  <si>
    <t xml:space="preserve">102752</t>
  </si>
  <si>
    <t xml:space="preserve">S2-930</t>
  </si>
  <si>
    <t xml:space="preserve">Adhesive Dispenser</t>
  </si>
  <si>
    <t xml:space="preserve"> Installed - In Production Including : Magazine Loader and Unloader, 
MonitorFeature : Motion SystemZ repeatability ±15 µm (0.0006 in.), 3 
sigmaX-Y repeatability ±15 µm (0.0006 in.), 3 sigmaX-Y acceleration: 1 g 
peakX-Y velocity: 1 m/s peak (40 in./s)X-Y-Z encoder resolution: 1 µmWet 
Dispensing Accuracy &amp; RepeatabilitySingle Applicator: Cp ≥ 1.0: ±35 µm 
(0.0014 in.) / Cpk ≥ 1.0(1) : ±40 µm (0.0016 in.)Z-Gap PerformanceZ-Gap 
Repeatability (2) : ±15 µm (0.0006 in.), 3 sigmaMinimum Z-Gap Capability: 
50 µm (0.002 in.)Dispense Area (X-Y) 339 x 410 mm (13.3 x 16.1 in.) </t>
  </si>
  <si>
    <t xml:space="preserve">102753</t>
  </si>
  <si>
    <t xml:space="preserve"> Installed - In Productio FLUXJET ASYM S2930 Including : Magazine Loader 
and Unloader, MonitorFeature :Motion SystemZ repeatability ±15 µm (0.0006 
in.), 3 sigmaX-Y repeatability ±15 µm (0.0006 in.), 3 sigmaX-Y 
acceleration: 1 g peakX-Y velocity: 1 m/s peak (40 in./s)X-Y-Z encoder 
resolution: 1 µmWet Dispensing Accuracy &amp; RepeatabilitySingle Applicator: 
Cp ≥ 1.0: ±35 µm (0.0014 in.) / Cpk ≥ 1.0(1) : ±40 µm (0.0016 in.)Z-Gap 
PerformanceZ-Gap Repeatability (2) : ±15 µm (0.0006 in.), 3 sigmaMinimum 
Z-Gap Capability: 50 µm (0.002 in.)Dispense Area (X-Y) 339 x 410 mm (13.3 x 
16.1 in.) </t>
  </si>
  <si>
    <t xml:space="preserve">101842</t>
  </si>
  <si>
    <t xml:space="preserve">X-1020</t>
  </si>
  <si>
    <t xml:space="preserve">Dispenser</t>
  </si>
  <si>
    <t xml:space="preserve">98445</t>
  </si>
  <si>
    <t xml:space="preserve">Asyst</t>
  </si>
  <si>
    <t xml:space="preserve">LPI 2200</t>
  </si>
  <si>
    <t xml:space="preserve">SMIF  loader</t>
  </si>
  <si>
    <t xml:space="preserve">Fully operational condition.
Deinstalled, warehoused. Can be inspected by appointment</t>
  </si>
  <si>
    <t xml:space="preserve">98446</t>
  </si>
  <si>
    <t xml:space="preserve">LPT 2200</t>
  </si>
  <si>
    <t xml:space="preserve">102860</t>
  </si>
  <si>
    <t xml:space="preserve">PST100</t>
  </si>
  <si>
    <t xml:space="preserve">Wafer Sorter</t>
  </si>
  <si>
    <t xml:space="preserve">SMIF, WMS/Wafer Metrology Sorter (2SMIF Indexers) with 2 SMIF Ports + 1 
Open Cassette Plate</t>
  </si>
  <si>
    <t xml:space="preserve">102861</t>
  </si>
  <si>
    <t xml:space="preserve">Spartan</t>
  </si>
  <si>
    <t xml:space="preserve">EFEM Wafer Sorter</t>
  </si>
  <si>
    <t xml:space="preserve">2 FOUP, 300mm EFEM Wafer Sorter</t>
  </si>
  <si>
    <t xml:space="preserve">102551</t>
  </si>
  <si>
    <t xml:space="preserve">Asyst </t>
  </si>
  <si>
    <t xml:space="preserve">e-charger</t>
  </si>
  <si>
    <t xml:space="preserve">N2 charge</t>
  </si>
  <si>
    <t xml:space="preserve">102552</t>
  </si>
  <si>
    <t xml:space="preserve">Indexer 2200</t>
  </si>
  <si>
    <t xml:space="preserve">SMIF loader</t>
  </si>
  <si>
    <t xml:space="preserve">101816</t>
  </si>
  <si>
    <t xml:space="preserve">Isoport</t>
  </si>
  <si>
    <t xml:space="preserve">Wafer load port</t>
  </si>
  <si>
    <t xml:space="preserve">20</t>
  </si>
  <si>
    <t xml:space="preserve">101817</t>
  </si>
  <si>
    <t xml:space="preserve">Versaport pod opener 2200 VPO</t>
  </si>
  <si>
    <t xml:space="preserve">98447</t>
  </si>
  <si>
    <t xml:space="preserve">August</t>
  </si>
  <si>
    <t xml:space="preserve">3DI-8000</t>
  </si>
  <si>
    <t xml:space="preserve">wafer bump  inspection</t>
  </si>
  <si>
    <t xml:space="preserve">98448</t>
  </si>
  <si>
    <t xml:space="preserve">NSX-95</t>
  </si>
  <si>
    <t xml:space="preserve">2D Auto inspection system / Macro defect inspection system</t>
  </si>
  <si>
    <t xml:space="preserve">101818</t>
  </si>
  <si>
    <t xml:space="preserve">NSX105</t>
  </si>
  <si>
    <t xml:space="preserve">Wafer Bumping Inspection System / Macro defect inspection</t>
  </si>
  <si>
    <t xml:space="preserve">100347</t>
  </si>
  <si>
    <t xml:space="preserve">Autec</t>
  </si>
  <si>
    <t xml:space="preserve">ATC-70B-RS</t>
  </si>
  <si>
    <t xml:space="preserve">Thermal Shock Tester</t>
  </si>
  <si>
    <t xml:space="preserve">102684</t>
  </si>
  <si>
    <t xml:space="preserve">Aviza</t>
  </si>
  <si>
    <t xml:space="preserve">RVP-300</t>
  </si>
  <si>
    <t xml:space="preserve">Vertical Furnace Atmospheric Oxide Anneal Process</t>
  </si>
  <si>
    <t xml:space="preserve"> ﻿System, General SpecificationHeater element Model: FURNACE,ATM 
–APLProcess Condition: APMaximum Operating Temperature: 1200cN2 Load Lock: 
YesWafer Type: 300 SEMI STD-NotchQty. of Production Wafers: 120 slots 
LadderBoat Operation: 2 Boat TypeSoftware Version: AVP 2.7.1 VSystem, 
FurnaceLoading Area Light: WhiteForce Air Cooling system: installedSide 
Maintenance: NoneO2 Density control: 0-100ppmN2 Boat shower wafer cooling: 
NoneFurnace Temperature Controller: SSPC controlSystem, Wafer/Carrier 
HandlingCarrier Type: 12" FOUPCarrier Stage Capacity: 16 FOUPWTU Type: 
GenMarkWTU alignment: GenMarkWTU Teaching method: Pre-aligner / dual 
beamSystem, Gas DistributionIGS Maker / Type: Fujikin- NoneIGS MFC Maker / 
Type: AERA- NoneIGS Press Transducer Maker / Type: Mykrolis- NoneSystem, 
Exhaust SpecificationVacuum Gage - 2 torr: AP tool - NoneVacuum Gage - 10 
torr: AP tool - NoneVacuum Gage - 100 torr: AP tool – NoneVacuum Gage - 
1000 torr: AP tool – NoneMain Valve: AP tool – NonePump Maker/Model: AP 
tool – NoneLow vacuum valve: AP tool – NoneTrap: AP tool – NoneVacuum 
Pressure Controller: AP tool – NoneSystem, ReactorProcess Tube (LP): 
NoneOuter/Inner Tube Material (LP): NoneInner Tube Type (AP): Quartz 
SingleInner T/C: 12FT/HONEYWELLBoat Materail/Type: SicBoat Rotation: 
NonePedestal Materail/Type: QuartzAuto Shutter: installedSystem, Power 
DistributionVoltage 3phase: 480VACVoltage Single-phase: NoneFrequency: 
60HzSystem, User Interface:Operation Panel: Keyboard &amp; ScreenIndicator 
Type: MouseOperation software type: LinuxGas Leak DetectorGas Leak Detector 
Materail/Type: GasTechSystem, Fixture List, GasIGS maintenance Fixture: 
NoneVacuum Gauge: oneMissing/Damaged Parts List</t>
  </si>
  <si>
    <t xml:space="preserve">102685</t>
  </si>
  <si>
    <t xml:space="preserve">ANNEAL System, General SpecificationHeater element Model�� �FURNACE,ATM 
-APLProcess Condition�� �APMaximum Operating Temperature�� �1200cN2 Load 
Lock�� �YesWafer Type�� �300 SEMI STD-NotchQty. of Production Wafers�� �120 
slots LadderBoat Operation�� �2 Boat TypeSoftware Version�� �AVP 2.7.1 
VSystem, FurnaceLoading Area Light�� �White�� �2Force Air Cooiling system�� 
�installed�� �1Side Maintenance�� �None�� �NoneO2 Density control�� 
�0-100ppm�� �1N2 Boat shower wafer cooling�� �None�� �1Furnace Temperature 
Controller�� �SSPC control�� �9System, Wafer/Carrier HandlingCarrier Type�� 
�12" FOUPCarrier Stage Capacity�� �16 FOUPWTU Type�� �GenMarkWTU 
alignment�� �GenMarkWTU Teaching method�� �Pre-aligner / dual beamSystem, 
Gas DistributionIGS Maker / Type�� �FujikinIGS MFC Maker / Type�� �AERAIGS 
Press Transducer Maker / Type�� �MykrolisSystem, Exhaust Specification�� 
�Vacuum Gage - 2 torr�� �AP tool�Vacuum Gage - 10 torr�� �AP tool�Vacuum 
Gage - 100 torr�� �AP tool�Vacuum Gage - 1000 torr�� �AP tool�Main Valve�� 
�AP tool�Pump Maker/Model�� �AP tool�Low vacuum valve�� �AP tool�Trap�� �AP 
tool�Vacuum Pressure Controller�� �AP tool�System, Reactor�� �Process Tube 
(LP)�� �NoneOuter/Inner Tube Material (LP)�� �NoneInner Tube Type (AP)�� 
�Quartz SingleInner T/C�� �12FT/HONEYWELLBoat Materail/Type�� �SicBoat 
Rotation�� �NonePedestal Materail/Type�� �QuartzAuto Shutter�� 
�installedSystem, Power Distribution�� �Voltage 3phase�� �480VACVoltage 
Single-phase�� �NoneFrequency�� �60Hz�System, User Interface�� �Operation 
Panel�� �Keyboard &amp; ScreenIndicator Type�� �MouseOperation software type�� 
�LinuxGas Leak Detector�� �Gas Leak Detector Materail/Type�� 
�GasTechSystem, Fixture List, Gas�� �IGS maintenance Fixture�� �NoneVacuum 
Gauge�� �NoneDamage/Missing parts listDry pumps, quartz and profile TC are 
not included with sales</t>
  </si>
  <si>
    <t xml:space="preserve">64789</t>
  </si>
  <si>
    <t xml:space="preserve">AXCELIS</t>
  </si>
  <si>
    <t xml:space="preserve">110000800</t>
  </si>
  <si>
    <t xml:space="preserve">Universal 300mm Disk Cart MAT # 4501422</t>
  </si>
  <si>
    <t xml:space="preserve">102141</t>
  </si>
  <si>
    <t xml:space="preserve">Axcelis</t>
  </si>
  <si>
    <t xml:space="preserve">COMPACT II</t>
  </si>
  <si>
    <t xml:space="preserve">RTP SYSTEM</t>
  </si>
  <si>
    <t xml:space="preserve">98266</t>
  </si>
  <si>
    <t xml:space="preserve">FUSION 200 MCU</t>
  </si>
  <si>
    <t xml:space="preserve">Asher</t>
  </si>
  <si>
    <t xml:space="preserve">-de-installed, warehoused
-inspection available by appointment
-see attached photos for details.
-8 inch open cassette loading
-stock of spare parts available with the tool - see photos</t>
  </si>
  <si>
    <t xml:space="preserve">98212</t>
  </si>
  <si>
    <t xml:space="preserve">Fusion PCU 200</t>
  </si>
  <si>
    <t xml:space="preserve">Photoresist Stabilizer</t>
  </si>
  <si>
    <t xml:space="preserve">102142</t>
  </si>
  <si>
    <t xml:space="preserve">HE3</t>
  </si>
  <si>
    <t xml:space="preserve">High Energy Implanter 1.2 MeV</t>
  </si>
  <si>
    <t xml:space="preserve">84533</t>
  </si>
  <si>
    <t xml:space="preserve">Integra 340</t>
  </si>
  <si>
    <t xml:space="preserve">Strip</t>
  </si>
  <si>
    <t xml:space="preserve">-De-installed
-Warehoused
-See attached photos for details.
-Can be inspected by appointment
</t>
  </si>
  <si>
    <t xml:space="preserve">87639</t>
  </si>
  <si>
    <t xml:space="preserve">NV-GSD-HE</t>
  </si>
  <si>
    <t xml:space="preserve">High Energy Implanter</t>
  </si>
  <si>
    <r>
      <rPr>
        <sz val="8"/>
        <rFont val="Arial"/>
        <family val="0"/>
        <charset val="1"/>
      </rPr>
      <t xml:space="preserve">-Manufactured by Eaton
-Currently bolted-up, and in an inspection facility
-Can be sold "as is", or with refurbishment.
-Please refer to the attached photos to see the current condition.
-480 V 3 phase 60 Hz
-87 kVA
-Maximum beam energy: 1MeV and 1 mA
-Weight: 30,000 lbs / 13600 KG
-Wafer batch size: 13 pcs
   1. Utility Configuration:
         1. Tool Specification:
     - Line Power
       Input Power: 480VAC, 3P, 60HZ, 87KVA
       Output Power: 1MeV, 1mA
     - Weight 30,000 / 13,600 Lbs / kg
         1. Utility Gas:
     Gas Name
      Usage
    Connection Type
     Size
       Remark
     CDA
    Machine Air
    Swagelok
     3/8” SUS male
     Ar
    Process Ar
    Swagelok
     3/8” SUS male
     PN2
    Process Vent
    Swagelok
     3/8” SUS male
     GN2
    Purge Vent
    Swagelok
     3/8” SUS male
     Gas box N2
      Gas Box
    Swagelok
     3/8” SUS male
     SF6
       Linac
    Swagelok
     3/8” SUS male
       charge port
         1. Exhaust:
    Description
     Type
    Flow Rate
    (CFM)
     Size
     Q'ty
    Exhaust
    Hood
         Remark
    Environment
     GEX
    500
     4", PVC
    4
    Y
    Cryo Pump
     SEX
    40
     1", SUS
    1
    Y
    Gas Cabinet
     SEX
    600
     2", PVC
    2
    Y
    RP exhaust
     SEX
    100
      KF-40,
      Clamp
    3
    Y
         1. Cooling Water:
     Description
     Pressure
     (PSI)
     Flow Rate
     (GPM)
     Temp.
     (</t>
    </r>
    <r>
      <rPr>
        <sz val="8"/>
        <rFont val="Noto Sans CJK SC"/>
        <family val="2"/>
        <charset val="1"/>
      </rPr>
      <t xml:space="preserve">。</t>
    </r>
    <r>
      <rPr>
        <sz val="8"/>
        <rFont val="Arial"/>
        <family val="0"/>
        <charset val="1"/>
      </rPr>
      <t xml:space="preserve">C)
      Size
    Q'ty
       Remark
     City Water
     100
     50
      25
      2", SUS, Clamp
    1
    Triple Loop Chiller
     City Water
     100
     20
      25
      1", SUS, Clamp
    1
    Disk Chiller
     DI Water Refill
     manual
     manual
      N/A
      1", PVC, Clamp
    1
   1. System Configuration:
         1. Endstation Module:
                + Mini-Environment DEXON
                           With Air circulation curtain
                + ATM Robot Axcelis STD ATM Robot
                + Notch/Flat Finder Notch
                + Dummy Cassette 1
                + Load Buffer 2
                + Vacuum Cassette 1
                + Cassette Table 4
                + Load Port Interface N/A
                + Beam Profile Oscilloscope 1
                + Cell Controller 1
                + Loadlock Type GSD 100 / 200, HE
                + Main SUN Computer SPARC station 5
                + Main Monitor YES
                + Second SUN Computer N/A
                + Second SUN Monitor N/A
                + Tape Reader N/A
                +  
                  Printer N/A
         1. Process Module:
                +  
                  Disk NV-GSD-200
                + Faraday Flag YES
                + Electron Shower YES
                + Ar/Xe Bleed MFC N/A
                + In-Vac Arm YES
                + Wafer Holder YES
                + Gyro YES
                + Linear Drive YES
                + Rotary Drive Direct Drive
         1. Beamline Module:
                + HV Power Supply Advance Hivolt
     - HV Stack OL8000/ 104 / 05, 100KV
                + Post Accel. Volt Max. 1 MeV
                + Extraction Suppression PS 1
                + AMU BSL
                + AMU PS EMI EMS 40-150
                + Hall Probe AMU/FEM
                + Linac System HE STD
                + Resonator 10
                + RF Power Supply AE 3155038-001 x 2 ea
                          AE 3155038-004 x 8 ea
                + Quad Power Supply GHI PS/Dual Output x 5 ea
                + FEM BSL
                + FEM Power Supply EMI EMS 30-165 x 2 ea
         1. Source Module:
                + Source Head ELS
                + Filament PS EMI EMS 10-60
                + Arc PS EMI EMS 150-7
                + Cathode PS YES
                + Vaporizer PS N/A
                + Source Magnet STD
                + Source Magnet PS EMI EMS 25-25
                + Source Bushing YES
                + Extraction Assembly HE
                + Vaporizer N/A
         1. Gas Box Module:
                + Gas Box Type GSD-100, 80KV
                + Gas Loop #1 Ar, HP
                + Gas Loop #2 BF3, HP
                + Gas Loop #3 AsH3, SDS
                + Gas Loop #4 PH3, SDS
                + Loop #1 MFC MKS1179A, Ar, 5 sccm
                + Loop #2 MFC MKS 1179A, N2, 10 sccm
                + Loop #3 MFC MKS 1640A, AsH3, 5 sccm
                + Loop #4 MFC MKS 1640A, AsH3, 5 sccm
         1. Vacuum System:
                + P1 / Source Turbo LH, Turbovac 1000C
                + P1 Controller LH, Turbotronik NT 1000/1500 VH
                + P2 / Resolving Cryo Pump CTI OB-8
                + P3 / V3 Cryo Pump CTI OB-10
                + P4 / Linac Turbo (Right) LH, Turbovac 1000C
                + P4 Controller LH, Turbotronik NT 1000/1500 VH
                + P5 / Linac Turbo (Left) LH, Turbovac 1000C
                + P5 Controller LH, Turbotronik NT 1000/1500VH
                + P8 / Beam Guide Turbo LH, Turbovac 1000C
                + P8 Controller LH, Turbotronik NT 1000/1500VH
                + P9 / Disk Cryo Pump CTI OB-250F
                + RP1 BOC Edwards QDP80
                + RP2 BOC Edwards QDP80+QMB250
                + RP4 BOC Edwards QDP80+QMB250
                + IG1 Axcelis 3300002
                + IG2 Axcelis 3300002
                + IG3 Axcelis 3300002
                + IG4 Axcelis 3300002
         1. Safety Options:
                + VESDA N/A
                + Smoke Detector N/A
                + CES Options N/A
         1. Others:
                + Enclosures OK
                + Ground Bars 3 PCS
                + Door Lock Keys 3 ea
                + Drawings / Manuals N/A
   1. Sub-Systems:
 Triple Loop Chiller
Maker: Japan Model No.: N/A
  Disk Chiller
Maker: N/A Model No.: N/A
 Compressor 1
  Maker: CTI M/N: 9600 S/N: N/A
                  Maker: CTI M/N: 9600 S/N: N/A
</t>
    </r>
  </si>
  <si>
    <t xml:space="preserve">102143</t>
  </si>
  <si>
    <t xml:space="preserve">Optima HDx</t>
  </si>
  <si>
    <t xml:space="preserve">High Current Implanter</t>
  </si>
  <si>
    <t xml:space="preserve">102144</t>
  </si>
  <si>
    <t xml:space="preserve">102145</t>
  </si>
  <si>
    <t xml:space="preserve">Summit</t>
  </si>
  <si>
    <t xml:space="preserve">102146</t>
  </si>
  <si>
    <t xml:space="preserve">Summit 300XT</t>
  </si>
  <si>
    <t xml:space="preserve">102837</t>
  </si>
  <si>
    <t xml:space="preserve">Axcelis (Eaton)</t>
  </si>
  <si>
    <t xml:space="preserve">NV  6200</t>
  </si>
  <si>
    <t xml:space="preserve">Ion implanter having energy range 20 KeV TO 160 KeV</t>
  </si>
  <si>
    <t xml:space="preserve">84529</t>
  </si>
  <si>
    <t xml:space="preserve">Axcelis / Fusion</t>
  </si>
  <si>
    <t xml:space="preserve">M200PCU</t>
  </si>
  <si>
    <t xml:space="preserve">UV Bake</t>
  </si>
  <si>
    <t xml:space="preserve">see photos for condition</t>
  </si>
  <si>
    <t xml:space="preserve">84530</t>
  </si>
  <si>
    <t xml:space="preserve">-prefer refer to the attached photos to see the tool condition</t>
  </si>
  <si>
    <t xml:space="preserve">102862</t>
  </si>
  <si>
    <t xml:space="preserve">Axcelis Eaton</t>
  </si>
  <si>
    <t xml:space="preserve">GSD100</t>
  </si>
  <si>
    <t xml:space="preserve">Gyro Disk for GSD100</t>
  </si>
  <si>
    <t xml:space="preserve">102863</t>
  </si>
  <si>
    <t xml:space="preserve">Axcelis Fusion</t>
  </si>
  <si>
    <t xml:space="preserve">200PCU</t>
  </si>
  <si>
    <t xml:space="preserve">UV Stabilizer/Bake</t>
  </si>
  <si>
    <t xml:space="preserve">Single Chamber UV Stabilizer/Bake with 3 Axis Robot, Bolt-in SMIF</t>
  </si>
  <si>
    <t xml:space="preserve">102864</t>
  </si>
  <si>
    <t xml:space="preserve">Single Chamber UV Stabilizer/Bake with 3 Axis Robot</t>
  </si>
  <si>
    <t xml:space="preserve">102865</t>
  </si>
  <si>
    <t xml:space="preserve">102866</t>
  </si>
  <si>
    <t xml:space="preserve">102867</t>
  </si>
  <si>
    <t xml:space="preserve">102868</t>
  </si>
  <si>
    <t xml:space="preserve">GPS</t>
  </si>
  <si>
    <t xml:space="preserve">Dual Chamber UV Stabilizer/Bake</t>
  </si>
  <si>
    <t xml:space="preserve">Dual Chamber UV Stabilizer/Bake with 3 Axis Robot</t>
  </si>
  <si>
    <t xml:space="preserve">87982</t>
  </si>
  <si>
    <t xml:space="preserve">AXICON</t>
  </si>
  <si>
    <t xml:space="preserve">AXICON2000</t>
  </si>
  <si>
    <t xml:space="preserve">87484</t>
  </si>
  <si>
    <t xml:space="preserve">BAUSCH &amp; LOMB</t>
  </si>
  <si>
    <t xml:space="preserve">StereoZoom 4</t>
  </si>
  <si>
    <t xml:space="preserve">Microscope on Boom Stand, 0.7-3X with 10X W.F. Stereo Eyepieces</t>
  </si>
  <si>
    <t xml:space="preserve">87485</t>
  </si>
  <si>
    <t xml:space="preserve">Microscope on Small Benchtop Stand, 0.7-3X with 15X W.F. Eyepieces</t>
  </si>
  <si>
    <t xml:space="preserve">87486</t>
  </si>
  <si>
    <t xml:space="preserve">StereoZoom 6 Plus</t>
  </si>
  <si>
    <t xml:space="preserve">Microscope, 0.67-4.0X with WF 10X/21 Eyepieces</t>
  </si>
  <si>
    <t xml:space="preserve">87487</t>
  </si>
  <si>
    <t xml:space="preserve">StereoZoom 7</t>
  </si>
  <si>
    <t xml:space="preserve">Microscope on Boom Stand, 1-7X with 15X Eyepieces and 0.67X Adapter Lens</t>
  </si>
  <si>
    <t xml:space="preserve">99405</t>
  </si>
  <si>
    <t xml:space="preserve">Bio-Rad</t>
  </si>
  <si>
    <t xml:space="preserve">Q5 (Upgrade to a Q6)</t>
  </si>
  <si>
    <t xml:space="preserve">Overlay Registration Tool</t>
  </si>
  <si>
    <t xml:space="preserve">up to 200 mm</t>
  </si>
  <si>
    <t xml:space="preserve">    * Anti-Static Load Station with Dual 8” Cassette Elevators
    * Dual Wafer Pickup Tool with Optical Flatfinder
    * Vacuum Chuck for 3” - 8” Wafers
    * Wide &amp; Narrow Optical Channels
    * Dual COHU Series 6700 CCD Cameras
    * Dual MITSUBISHI Diamond Scan AUM-1391A Color Monitors
    * BIORAD Y5308000 Video Multiswitch
    * MITSUBISHI P68U Video Copy Processor
    * OK INDUSTRIES PulseFlow Controller
    * BIORAD Y7000010 System Control Console</t>
  </si>
  <si>
    <t xml:space="preserve">99406</t>
  </si>
  <si>
    <t xml:space="preserve">Q7/Q8</t>
  </si>
  <si>
    <t xml:space="preserve">Overlay metrology Tool</t>
  </si>
  <si>
    <t xml:space="preserve">150 mm-200 mm</t>
  </si>
  <si>
    <t xml:space="preserve">    * Date of Mfg: 12/30/97
    * Configured for 150mm Wafers
    * 2ea Send &amp; Receive Cassette Elevators for 75mm – 200mm Wafers
    * Wafer Loading Arm with Optical Flatfinder
    * XYZ Stage with 200mm Wafer Chuck &amp; Stage Fiducial
    * 3.5X, 30X &amp; 70X Objectives Lenses
    * 2ea COHU 6700 Series CCD Cameras
    * Model 6100000 Xenon Illumination Lamp House
    * System Controller with UNIX Based Operating System
    * VME Box with FORCE ELECTRONICS SYS68K CPU-30BE/16 CPU
    * Digital Tape Backup and 3 ½” Floppy Disk Drive
    * 2ea LCD Monitors
    * MITSUBISHI P68U Video Copy Processor
    * SECS/GEM Communications
    * CE Marked</t>
  </si>
  <si>
    <t xml:space="preserve">95016</t>
  </si>
  <si>
    <t xml:space="preserve">Q8</t>
  </si>
  <si>
    <t xml:space="preserve">Overlay Metrology</t>
  </si>
  <si>
    <t xml:space="preserve">99407</t>
  </si>
  <si>
    <t xml:space="preserve">QS-1200</t>
  </si>
  <si>
    <t xml:space="preserve">FT-IR Spectrometer</t>
  </si>
  <si>
    <t xml:space="preserve">BIORAD QS-1200 FT-IR Spectrometer
    * Fully refurbished and guaranteed fully operational: can send video
      when ready for collection.
    * Non-Destructive Measurement of Epitaxial Silicon Films
    * Manual Wafer Handling – 12” Nose Cone
    * Sample Tray (2”, 3”, 4”, 5”, 6”, 8” and 300mm)
    * Manual Wafer Loading
    * New KBr Optical Components
    * Dell GX270 3.2 Ghz 1G Ram 320G HD
    * Networking, USB, Large Harddisk Support
    * Windows XP OS
    * Win-IR Pro Rev. 2.51
    * Win-Epi
    * Microsoft Access Software
    * System Software, Epi Measurement Software &amp; Site Preparation Manuals
      Included
 </t>
  </si>
  <si>
    <t xml:space="preserve">102587</t>
  </si>
  <si>
    <t xml:space="preserve">QS-300</t>
  </si>
  <si>
    <t xml:space="preserve">The Tool is fully functional.
Including:
• Non-Destructive Measurement of Epitaxial Silicon Thickness
• BIO-RAD FTS-240 Optical Bench
• Standard IR Source
• Standard DTGS Detector
• KBr Optical Components
• BIO-RAD 013-4100 Spectrometer Controller
• Manual Nosecone for 75mm-200mm Wafers
• System Control PC with Windows XP OS
• Win-IR Pro (Rev. 2.51) Software and Microsoft Access Database
• QS-300 Win-Epi Application Software
• System Software, Applications Software &amp; Site Preparation Manuals 
Included</t>
  </si>
  <si>
    <t xml:space="preserve">99409</t>
  </si>
  <si>
    <t xml:space="preserve">QS-408M</t>
  </si>
  <si>
    <t xml:space="preserve">Manual FT-IR Spectrometer</t>
  </si>
  <si>
    <t xml:space="preserve">    * Capable of Measuring 100mm – 200mm Wafers
    * Non-Destructive Measurement
    * Manual Wafer Handling
    * Epitaxial Layer Thickness (EPI) Measurement Range
    * 0.2 to 200 microns
          o 0.02 microns Precision
          o 4 to 10 Seconds Collection Time
    * BIO-RAD 013-4100 Spectrometer Controller
    * BIO-RAD SPC 3200 Spectrometer Computer
    * 3.5” Floppy Disk Drive
          o Idris™® “Unix Like” Operating System
    * BIO-RAD XYZ Stage Controller</t>
  </si>
  <si>
    <t xml:space="preserve">33671</t>
  </si>
  <si>
    <t xml:space="preserve">BIORAD</t>
  </si>
  <si>
    <t xml:space="preserve">Q5</t>
  </si>
  <si>
    <t xml:space="preserve">Overlay Metrology Tool</t>
  </si>
  <si>
    <t xml:space="preserve">91847</t>
  </si>
  <si>
    <t xml:space="preserve">Manual FT-IR Spectrometer for Epi, SiN, BPSG Measurement &amp; More, up to 200mm Wafers, 2ea Available</t>
  </si>
  <si>
    <t xml:space="preserve">Manual FT-IR Spectrometer for Epi, SiN, BPSG Measurement &amp; More, up to 
200mm Wafers, 2ea Available</t>
  </si>
  <si>
    <t xml:space="preserve">103036</t>
  </si>
  <si>
    <t xml:space="preserve">Blue M</t>
  </si>
  <si>
    <t xml:space="preserve">55667</t>
  </si>
  <si>
    <t xml:space="preserve">3-Zone 1200�C Tube Furnace</t>
  </si>
  <si>
    <t xml:space="preserve">Digital temperature controller 58434-P. Max. Temp.: 1200°C. Heated Length: 
36”  Each Zone: 12”. Max. allowable tube O.D.: 6”. 240V, 1 Ph,50/60 Hz,</t>
  </si>
  <si>
    <t xml:space="preserve">102645</t>
  </si>
  <si>
    <t xml:space="preserve">BOC Edwards</t>
  </si>
  <si>
    <t xml:space="preserve">STP-H1000L</t>
  </si>
  <si>
    <t xml:space="preserve">Turbo-Molecular Vacuum Pump</t>
  </si>
  <si>
    <t xml:space="preserve">Price is as is ex-works.</t>
  </si>
  <si>
    <t xml:space="preserve">102643</t>
  </si>
  <si>
    <t xml:space="preserve">BPS</t>
  </si>
  <si>
    <t xml:space="preserve">Cyberite</t>
  </si>
  <si>
    <t xml:space="preserve">Ion Beam Deposition Tool</t>
  </si>
  <si>
    <t xml:space="preserve">125 mm</t>
  </si>
  <si>
    <t xml:space="preserve">BPS Cyberite is a very productive cluster ion beam deposition system that 
is used for multilayer magneto resistive sensor fabrication. 
Main Features: Two chambers 6 targets each, high uniformity, Brooks robot 
cluster handling, cryogenic onboard pumps, 5“ wafer format
Tool Status: installed and operational, immediately available.
Please refer to the attached photos and here follows the system 
configuration.</t>
  </si>
  <si>
    <t xml:space="preserve">101740</t>
  </si>
  <si>
    <t xml:space="preserve">Branson</t>
  </si>
  <si>
    <t xml:space="preserve">Benchmark 1216-5</t>
  </si>
  <si>
    <t xml:space="preserve">Solder Flux Cleaner</t>
  </si>
  <si>
    <t xml:space="preserve">101741</t>
  </si>
  <si>
    <t xml:space="preserve">100874</t>
  </si>
  <si>
    <t xml:space="preserve">BRANSON  IPC</t>
  </si>
  <si>
    <t xml:space="preserve">Series 2000</t>
  </si>
  <si>
    <t xml:space="preserve">Plasma Barrel Photoresist</t>
  </si>
  <si>
    <t xml:space="preserve">Fully refurbished and guaranteed fully functional.
90-day warranty on parts.
Branson IPC S2005-11020 Reactor Center, 10" (i.d.) x 20" (h) quartz process 
chamber;
Branson IPC 200C Controller, part no 07690-A; 3 ea rotometer controlled gas 
channels;
Branson IPC PM119 RF Generator, part no 3100S, 500 Watt Output Power, Input 
Power 120 VAC, 60Hz, 15A.
Leybold-Heraeus D60AC Mechanical Vacuum Pump, Input Power 208 VAC, 3ph, 
60Hz, 7A</t>
  </si>
  <si>
    <t xml:space="preserve">55911</t>
  </si>
  <si>
    <t xml:space="preserve">BRANSON/IPC</t>
  </si>
  <si>
    <t xml:space="preserve">4055/2</t>
  </si>
  <si>
    <t xml:space="preserve">Plasma Surface Treatment Tool w/Shelf Electrodes, 2ea Available</t>
  </si>
  <si>
    <t xml:space="preserve">99549</t>
  </si>
  <si>
    <t xml:space="preserve">S-3000</t>
  </si>
  <si>
    <t xml:space="preserve">Plasma Barrel Asher</t>
  </si>
  <si>
    <t xml:space="preserve">up to 5"</t>
  </si>
  <si>
    <t xml:space="preserve">It has a 10” (i.d.) X 20” (l) quartz chamber and is suitable for up to 5” 
wafers.
The tool has been upgraded with an ENI RF generator and comes with its very 
own dry pump.  The general description is:
Branson/IPC S-3000 Plasma Barrel Asher
• Branson/IPC 3075-11020 Reactor Center 
• Branson/IPC 4000C Controller 
• DigiVac 212 Digital Pressure Gauge
• EMI OEM-12 RF Generator
• Edwards QDP40 Dry Vacuum Pump
• Manual Included</t>
  </si>
  <si>
    <t xml:space="preserve">103026</t>
  </si>
  <si>
    <t xml:space="preserve">Brewer Science</t>
  </si>
  <si>
    <t xml:space="preserve">100GX Spinner</t>
  </si>
  <si>
    <t xml:space="preserve">LARGE SUBSTRATE PHOTORESIST SPINNER</t>
  </si>
  <si>
    <t xml:space="preserve">Large substrate spinner with a bowl inside diameter of 24" and a 11" 
diameter vacuum substrate chuck. LCD spinner controller PID microprocessor 
controlled to a maximum speed of 3000 RPM with an acceleration of 10000 
RPM. Older unit but fully tested in good working condition. 120V, 60Hz, 
Utilities: Vacuum: 25" Hg, Nitrogen 60 PSI Minimum, Drain 3/4" OD, Spinner 
Exhaust 1.5" OD</t>
  </si>
  <si>
    <t xml:space="preserve">99933</t>
  </si>
  <si>
    <t xml:space="preserve">BROOKS</t>
  </si>
  <si>
    <t xml:space="preserve">002-7391-08</t>
  </si>
  <si>
    <t xml:space="preserve">Brooks  Aligner</t>
  </si>
  <si>
    <t xml:space="preserve">99932</t>
  </si>
  <si>
    <t xml:space="preserve">Brooks Aligner</t>
  </si>
  <si>
    <t xml:space="preserve">99934</t>
  </si>
  <si>
    <t xml:space="preserve">002-9400-04</t>
  </si>
  <si>
    <t xml:space="preserve">Brooks Robot Controller</t>
  </si>
  <si>
    <t xml:space="preserve">99935</t>
  </si>
  <si>
    <t xml:space="preserve">017-0266-01</t>
  </si>
  <si>
    <t xml:space="preserve">Brooks Robot (Config No. 017-0950-01)</t>
  </si>
  <si>
    <t xml:space="preserve">99936</t>
  </si>
  <si>
    <t xml:space="preserve">017-0950-01</t>
  </si>
  <si>
    <t xml:space="preserve">Brooks Robot</t>
  </si>
  <si>
    <t xml:space="preserve">99931</t>
  </si>
  <si>
    <t xml:space="preserve">105151</t>
  </si>
  <si>
    <t xml:space="preserve">101839</t>
  </si>
  <si>
    <t xml:space="preserve">Brooks</t>
  </si>
  <si>
    <t xml:space="preserve">1622802-0001</t>
  </si>
  <si>
    <t xml:space="preserve">Robot and controllers for Nanometrics Caliper Mosaic</t>
  </si>
  <si>
    <t xml:space="preserve">-New, unused robot and controller, from a Nanometrics Caliper Mosaic.
See attached photos for details.</t>
  </si>
  <si>
    <t xml:space="preserve">98454</t>
  </si>
  <si>
    <t xml:space="preserve">DBM 2407</t>
  </si>
  <si>
    <t xml:space="preserve">Dual Arm Atmospheric wafer handling robot</t>
  </si>
  <si>
    <t xml:space="preserve">200/300mm</t>
  </si>
  <si>
    <t xml:space="preserve">Deinstalled, warehoused. Can be inspected by appointment.
This is a Used Robot, Refurbished, and in working condition, with 3 months 
warranty included.
The 3 months of warranty are counted from the date of consignment at the 
EXW point. For any warranty returns, buyer to pay for all shipping costs.</t>
  </si>
  <si>
    <t xml:space="preserve">98455</t>
  </si>
  <si>
    <t xml:space="preserve">Mag 7 ( for LAM etching )</t>
  </si>
  <si>
    <t xml:space="preserve">vacuum robot 002-1600-07</t>
  </si>
  <si>
    <t xml:space="preserve">Fully operational with 3-month warranty.
Deinstalled, warehoused. Can be inspected by appointment</t>
  </si>
  <si>
    <t xml:space="preserve">103024</t>
  </si>
  <si>
    <t xml:space="preserve">Magnatran 7 Robot 002-1500-11</t>
  </si>
  <si>
    <t xml:space="preserve">ROBOT</t>
  </si>
  <si>
    <t xml:space="preserve">Removed from a working system. Includes control pendant. CE marked.</t>
  </si>
  <si>
    <t xml:space="preserve">87556</t>
  </si>
  <si>
    <t xml:space="preserve">Multitran 5</t>
  </si>
  <si>
    <t xml:space="preserve">3 Axis Robot, Rebuilt</t>
  </si>
  <si>
    <t xml:space="preserve">    * PN 001-7600-07
    * Rebuilt by U.S. Technologies and has not been used since being
      rebuilt.
    * Robot does not include end effectors or robot arms.</t>
  </si>
  <si>
    <t xml:space="preserve">101642</t>
  </si>
  <si>
    <t xml:space="preserve">WTM-511-2-FWS02-V1-CU</t>
  </si>
  <si>
    <t xml:space="preserve">98451</t>
  </si>
  <si>
    <t xml:space="preserve">Brooks / PRI</t>
  </si>
  <si>
    <t xml:space="preserve">ATM 207</t>
  </si>
  <si>
    <t xml:space="preserve">single arm atmospheric wafer handling robot</t>
  </si>
  <si>
    <t xml:space="preserve">Fully working condition, no missing parts.
Deinstalled, warehoused. Can be inspected by appointment</t>
  </si>
  <si>
    <t xml:space="preserve">98452</t>
  </si>
  <si>
    <t xml:space="preserve">ATM 307</t>
  </si>
  <si>
    <t xml:space="preserve">Deinstalled, warehoused. Can be inspected by appointment.
The price shown is the price per robot.
We have qty 2 available.</t>
  </si>
  <si>
    <t xml:space="preserve">98453</t>
  </si>
  <si>
    <t xml:space="preserve">DBM 2406</t>
  </si>
  <si>
    <t xml:space="preserve">Dual arm Atmospheric wafer handling robot</t>
  </si>
  <si>
    <t xml:space="preserve">98458</t>
  </si>
  <si>
    <t xml:space="preserve">PRE 300/300B</t>
  </si>
  <si>
    <t xml:space="preserve">wafer pre-aligner</t>
  </si>
  <si>
    <t xml:space="preserve">87555</t>
  </si>
  <si>
    <t xml:space="preserve">BROOKS AUTOMATION</t>
  </si>
  <si>
    <t xml:space="preserve">ATM-305</t>
  </si>
  <si>
    <t xml:space="preserve">3 Axis Robot, Refurbished</t>
  </si>
  <si>
    <t xml:space="preserve">98449</t>
  </si>
  <si>
    <t xml:space="preserve">Brooks PRI</t>
  </si>
  <si>
    <t xml:space="preserve">ABM 405</t>
  </si>
  <si>
    <t xml:space="preserve">98450</t>
  </si>
  <si>
    <t xml:space="preserve">ABM 407B</t>
  </si>
  <si>
    <t xml:space="preserve">102553</t>
  </si>
  <si>
    <t xml:space="preserve">102554</t>
  </si>
  <si>
    <t xml:space="preserve">DBM-2400/2800</t>
  </si>
  <si>
    <t xml:space="preserve">PRI robot controller(dual arm robot)</t>
  </si>
  <si>
    <t xml:space="preserve">150/200/300</t>
  </si>
  <si>
    <t xml:space="preserve">102555</t>
  </si>
  <si>
    <t xml:space="preserve">ESC-200/212/212B/222/218</t>
  </si>
  <si>
    <t xml:space="preserve">PRI robot controller( single arm robot)</t>
  </si>
  <si>
    <t xml:space="preserve">102556</t>
  </si>
  <si>
    <t xml:space="preserve">98456</t>
  </si>
  <si>
    <t xml:space="preserve">Mag 8</t>
  </si>
  <si>
    <t xml:space="preserve">vacuum robot( AMAT Producer GT)</t>
  </si>
  <si>
    <t xml:space="preserve">98457</t>
  </si>
  <si>
    <t xml:space="preserve">PRE 200/200B</t>
  </si>
  <si>
    <t xml:space="preserve">102557</t>
  </si>
  <si>
    <t xml:space="preserve">WTM-107B</t>
  </si>
  <si>
    <t xml:space="preserve">IPEC 776 CMP R1/R2 robot</t>
  </si>
  <si>
    <t xml:space="preserve">102148</t>
  </si>
  <si>
    <t xml:space="preserve">Bruker</t>
  </si>
  <si>
    <t xml:space="preserve">D8FABLINE</t>
  </si>
  <si>
    <t xml:space="preserve">X-ray</t>
  </si>
  <si>
    <t xml:space="preserve">97850</t>
  </si>
  <si>
    <t xml:space="preserve">DEKTAK-8ADP</t>
  </si>
  <si>
    <t xml:space="preserve">Scan Profiler</t>
  </si>
  <si>
    <t xml:space="preserve">102149</t>
  </si>
  <si>
    <t xml:space="preserve">Insight 3D</t>
  </si>
  <si>
    <t xml:space="preserve">Mask House Photomask Inspection</t>
  </si>
  <si>
    <t xml:space="preserve">102949</t>
  </si>
  <si>
    <t xml:space="preserve">BRUKER</t>
  </si>
  <si>
    <t xml:space="preserve">Quantax 200</t>
  </si>
  <si>
    <t xml:space="preserve">EDS</t>
  </si>
  <si>
    <t xml:space="preserve">Laboratory</t>
  </si>
  <si>
    <t xml:space="preserve">102150</t>
  </si>
  <si>
    <t xml:space="preserve">BTU</t>
  </si>
  <si>
    <t xml:space="preserve">TCAS 181-7-72-E-36</t>
  </si>
  <si>
    <t xml:space="preserve">Reflow Oven for Explosive Atmosphere</t>
  </si>
  <si>
    <t xml:space="preserve">Oven</t>
  </si>
  <si>
    <t xml:space="preserve">101978</t>
  </si>
  <si>
    <t xml:space="preserve">Burkle</t>
  </si>
  <si>
    <t xml:space="preserve">RCF-12M1800</t>
  </si>
  <si>
    <t xml:space="preserve">Roller Coater - Lamination</t>
  </si>
  <si>
    <t xml:space="preserve">SOLAR</t>
  </si>
  <si>
    <t xml:space="preserve">101979</t>
  </si>
  <si>
    <t xml:space="preserve">YPSATOR 2022-5S</t>
  </si>
  <si>
    <t xml:space="preserve">Cooling Press - Lamination</t>
  </si>
  <si>
    <t xml:space="preserve">101980</t>
  </si>
  <si>
    <t xml:space="preserve">100630</t>
  </si>
  <si>
    <t xml:space="preserve">Camalot</t>
  </si>
  <si>
    <t xml:space="preserve">3800</t>
  </si>
  <si>
    <t xml:space="preserve">100631</t>
  </si>
  <si>
    <t xml:space="preserve">5000</t>
  </si>
  <si>
    <t xml:space="preserve">101769</t>
  </si>
  <si>
    <t xml:space="preserve">Cambridge Scientific</t>
  </si>
  <si>
    <t xml:space="preserve">S360</t>
  </si>
  <si>
    <t xml:space="preserve">SEM with EDS</t>
  </si>
  <si>
    <t xml:space="preserve">SEM not starting.
EDS (Oxford Instruments) in working condition.
Please check pictures below for more information.</t>
  </si>
  <si>
    <t xml:space="preserve">102950</t>
  </si>
  <si>
    <t xml:space="preserve">CAMECA</t>
  </si>
  <si>
    <t xml:space="preserve">IMS WF</t>
  </si>
  <si>
    <t xml:space="preserve">SECONDARY ION MASS SPECTROMETER</t>
  </si>
  <si>
    <t xml:space="preserve">102075</t>
  </si>
  <si>
    <t xml:space="preserve">Cameca</t>
  </si>
  <si>
    <t xml:space="preserve">LEXFAB300</t>
  </si>
  <si>
    <t xml:space="preserve">Low Energy Electron-induced X-Ray emission spectrometer</t>
  </si>
  <si>
    <t xml:space="preserve">87983</t>
  </si>
  <si>
    <t xml:space="preserve">CAMETEK</t>
  </si>
  <si>
    <t xml:space="preserve">SGA200X25E-1DAA</t>
  </si>
  <si>
    <t xml:space="preserve">102151</t>
  </si>
  <si>
    <t xml:space="preserve">Camtek</t>
  </si>
  <si>
    <t xml:space="preserve">X- ACT</t>
  </si>
  <si>
    <t xml:space="preserve">TEM Sample Preparation System</t>
  </si>
  <si>
    <t xml:space="preserve">100632</t>
  </si>
  <si>
    <t xml:space="preserve">Canon</t>
  </si>
  <si>
    <t xml:space="preserve">Bestem D02</t>
  </si>
  <si>
    <t xml:space="preserve">Epoxy Die Bonder</t>
  </si>
  <si>
    <t xml:space="preserve">102152</t>
  </si>
  <si>
    <t xml:space="preserve">C-7100GT</t>
  </si>
  <si>
    <t xml:space="preserve">Canon and Anelva xT with 2PVD chambers</t>
  </si>
  <si>
    <t xml:space="preserve">91369</t>
  </si>
  <si>
    <t xml:space="preserve">CANON</t>
  </si>
  <si>
    <t xml:space="preserve">ES2</t>
  </si>
  <si>
    <t xml:space="preserve">KrF Scanner</t>
  </si>
  <si>
    <t xml:space="preserve">90687</t>
  </si>
  <si>
    <t xml:space="preserve">ES6</t>
  </si>
  <si>
    <t xml:space="preserve">248 NM SCANNER</t>
  </si>
  <si>
    <r>
      <rPr>
        <sz val="8"/>
        <rFont val="Arial"/>
        <family val="0"/>
        <charset val="1"/>
      </rPr>
      <t xml:space="preserve">De-installed, warehoused, can be inspected by appointment.
-The equipment was de-installed by the OEM 3 years ago
-The equipment was working in good condition prior to removal
-The equipment has N2 lens purge installed during the storage at the 
warehouse .
-The equipment is stored in a temperature controlled warehousing facility.
Inspection Report:-
No 	Unit 	Inspected Item 	  	Check Result
1 	 Console 	Console 	Linux Console, e-console 	e-console
  	  	Main Version 	V**.*** 	-
  	  	Front Console - Touch Screen 	Missing, No Missing 	No Missing Parts
  	  	Front Console - USB Port 	Missing, No Missing 	No Missing Parts
  	  	Front Console - Keyboard 	Missing, No Missing 	No Missing Parts
  	  	Front Console - Mouse 	Missing, No Missing 	No Missing Parts
  	  	Side Console - Touch Screen 	Missing, No Missing 	No Missing Parts
  	  	Side Console - USB Port 	Missing, No Missing 	No Missing Parts
  	  	Side Console - Keyboard 	Missing, No Missing 	No Missing Parts
  	  	Side Console - Mouse 	Missing, No Missing 	No Missing Parts
2 	 RS Module 	(Uniformer) 	Missing, No Missing 	No Missing Parts
  	  	EX A Scope 	Missing, No Missing 	No Missing Parts
  	  	 R/S Laser Head 	Missing, No Missing 	No Missing Parts
  	  	  	Model 	Zygo 7714
  	  	RA Unit 	Missing, No Missing 	No Missing Parts
  	  	PRA Unit 	Missing, No Missing 	No Missing Parts
  	  	Reticle Scan Stage 	Missing, No Missing 	No Missing Parts
  	  	PCB, Part Missing 	Missing, No Missing 	No Missing Parts
3 	 PO Module 	U-Lens 	Missing, No Missing 	No Missing Parts
  	  	OAS (OA Scope) 	Missing, No Missing 	No Missing Parts
  	  	Scan OPTF Unit 	Missing, No Missing 	No Missing Parts
  	  	 W/S Laser Head 	Missing, No Missing 	No Missing Parts
  	  	  	Model 	Zygo 7714
  	  	Chuck Maintenance Unit 	Missing, No Missing 	No Missing Parts
4 	 WS Module 	Wafer Chuck 	Pin, Ring Chuck 	Pin Type Chuck
  	  	Wafer Stage Part Missing 	Missing, No Missing 	No Missing Parts
5 	 BOOTH2 (Auto Feeder) 	A/F Type 	R Type, L Type 	R Type (Front)
  	  	W/F size 	8, 12" 	12 Inch
  	  	W/F Type 	Notch, Flat 	Notch
  	  	Inline Relay Unit (FOUP Unit) 	Yes, No 	Yes (Relay Unit)
  	  	Inline Unit (WTC) 	Yes, No 	Yes
  	  	Open Cassette 	Yes, No 	Yes
  	  	SCH ROBOT 	Yes, No 	Yes
6 	 BOOTH2 (Auto Feeder-PSR) 	PA Unit 	Yes, No 	Yes
  	  	RCV Station 	Yes, No 	Yes
  	  	SH Hand 	Yes, No 	Yes
  	  	RH Hand 	Yes, No 	Yes
7 	 BOOTH2 (Reticle Changer ) 	R/C Type 	6INCH, 5INCH 	6INCH
  	  	Cassette Type 	SMIF, CANON, NIKON 	SMIF
  	  	SMIF POD 	Yes, No 	Yes
  	  	RTH Robot (Reticle Robot) 	Yes, No 	Yes
  	  	Reticle Stocker 	Yes, No 	Yes
  	  	Barcode Reader 	Yes, No 	Yes
  	  	PPC 	Yes, No 	Yes
8 	 Machine Room 	Upper C-Rack 	Missing, No Missing 	No Missing Parts
  	  	Lower C-Rack 	Missing, No Missing 	No Missing Parts
  	  	ALS Unit 	Missing, No Missing 	No Missing Parts
  	  	Incohirent 	Missing, No Missing 	No Missing Parts
  	  	Beam </t>
    </r>
    <r>
      <rPr>
        <sz val="8"/>
        <rFont val="Noto Sans CJK SC"/>
        <family val="2"/>
        <charset val="1"/>
      </rPr>
      <t xml:space="preserve">도입부 </t>
    </r>
    <r>
      <rPr>
        <sz val="8"/>
        <rFont val="Arial"/>
        <family val="0"/>
        <charset val="1"/>
      </rPr>
      <t xml:space="preserve">	Missing, No Missing 	No Missing Parts
9 	 BOOTH1 	J-BOX L 	Missing, No Missing 	No Missing Parts
  	  	J-BOX R 	Missing, No Missing 	No Missing Parts
  	  	EWS 	Missing, No Missing 	No Missing Parts
10 	 CPSU 	Type 	2 or 3 Division 	2 Division
  	  	Part Missing 	Missing, No Missing 	No Missing
  	  	S/N 	  	 
11 	 LASER 	Maker 	Cymer, GIGAPHOTON 	GIGAPHOTON
  	  	Model 	  	G41K3-1
  	  	S/N 	  	 
  	  	Vintage 	  	JUN, 2004
Lens performance data when the equipment was still installed:-
Item 	Condition 	Specification 	Result 	Judge
1.Image Quality 	  	  	  	  	  	  	  	  	  	  	  	  	 
1 	Open Frame Check 	NA0.85 σ0.80 	1.02ETH 	No Dark Spot 	No Dark Spot 	OK
2. Distortion Performance 	  	  	  	  	  	  	  	  	  	  	  	  	 
1 	Distortion 	NA0.86 σ0.85
Up Scan 	DX 	≦±11nm 	8.9 	OK
  	DY 	4.3
  	NA0.86 σ0.85
Down Scan 	DX 	≦±11nm 	9.0 	OK
  	DY 	-8.6
  	NA0.86 Annular
( 0.88 / 0.64 )
Up Scan 	DX 	≦±11nm 	8.5 	OK
  	DY 	4.4
  	NA0.86 Annular
( 0.88 / 0.64 )
Down Scan 	DX 	≦±11nm 	8.0 	OK
  	DY 	6.4
  	NA0.86 C-Quad
( 0.88 / 0.64 60deg )
Up Sccan 	DX 	≦±11nm 	8.8 	OK
  	DY 	4.3
  	NA0.86 C-Quad
( 0.88 / 0.64 60deg )
Down Sccan 	DX 	≦±11nm 	8.6 	OK
  	DY 	6.4
  	NA0.86 σ0.40
Up Scan 	DX 	≦±11nm 	9.8 	OK
  	DY 	5.7
  	NA0.86 σ0.40
Down Scan 	DX 	≦±11nm 	9.9 	OK
  	DY 	5.4
2 	Illumination Mode
Difference 	σ0.40
vs
Annular ( 0.88 / 0.64 ) 	DX 	≦±7nm 	1.6 	OK
  	DY 	1.1
  	C-Quad (0.88/0.64 60deg)
vs
Annular ( 0.88 / 0.64 ) 	DX 	≦±6nm 	3.6 	OK
  	DY 	0.7
  	σ0.40
vs
C-Quad (0.88/0.64 60deg) 	DX 	≦±6nm 	2.5 	OK
  	DY 	1.3
  	  	  	#4078318 	  	  	  	  	  	  	  	  	For Hynix 	 
Item 	Condition 	Specification 	Result 	Judge
3. Illumination Performance 	  	  	  	  	  	  	  	  	  	  	  	  	 
1 	Illumination Intensity 	NA0.86 σ0.85 	- 	≧36000w/</t>
    </r>
    <r>
      <rPr>
        <sz val="8"/>
        <rFont val="Noto Sans CJK SC"/>
        <family val="2"/>
        <charset val="1"/>
      </rPr>
      <t xml:space="preserve">㎡ </t>
    </r>
    <r>
      <rPr>
        <sz val="8"/>
        <rFont val="Arial"/>
        <family val="0"/>
        <charset val="1"/>
      </rPr>
      <t xml:space="preserve">	46341.5 	OK
  	NA0.86 σ0.40 	- 	≧36000w/</t>
    </r>
    <r>
      <rPr>
        <sz val="8"/>
        <rFont val="Noto Sans CJK SC"/>
        <family val="2"/>
        <charset val="1"/>
      </rPr>
      <t xml:space="preserve">㎡ </t>
    </r>
    <r>
      <rPr>
        <sz val="8"/>
        <rFont val="Arial"/>
        <family val="0"/>
        <charset val="1"/>
      </rPr>
      <t xml:space="preserve">	46957.9 	OK
  	NA0.86 Annular
( 0.88 / 0.64 ) 	- 	≧31000w/</t>
    </r>
    <r>
      <rPr>
        <sz val="8"/>
        <rFont val="Noto Sans CJK SC"/>
        <family val="2"/>
        <charset val="1"/>
      </rPr>
      <t xml:space="preserve">㎡ </t>
    </r>
    <r>
      <rPr>
        <sz val="8"/>
        <rFont val="Arial"/>
        <family val="0"/>
        <charset val="1"/>
      </rPr>
      <t xml:space="preserve">	44198.9 	OK
  	NA0.86 C-Quad
( 0.88 / 0.64 60deg ) 	- 	≧20000w/</t>
    </r>
    <r>
      <rPr>
        <sz val="8"/>
        <rFont val="Noto Sans CJK SC"/>
        <family val="2"/>
        <charset val="1"/>
      </rPr>
      <t xml:space="preserve">㎡ </t>
    </r>
    <r>
      <rPr>
        <sz val="8"/>
        <rFont val="Arial"/>
        <family val="0"/>
        <charset val="1"/>
      </rPr>
      <t xml:space="preserve">	29012.2 	OK
  	  	  	  	NA0.86 Annular
( 0.93 / 0.74 ) 	- 	≧25000w/</t>
    </r>
    <r>
      <rPr>
        <sz val="8"/>
        <rFont val="Noto Sans CJK SC"/>
        <family val="2"/>
        <charset val="1"/>
      </rPr>
      <t xml:space="preserve">㎡ </t>
    </r>
    <r>
      <rPr>
        <sz val="8"/>
        <rFont val="Arial"/>
        <family val="0"/>
        <charset val="1"/>
      </rPr>
      <t xml:space="preserve">	37147.7 	OK
  	  	  	  	NA0.78 Annular
( 0.85 / 0.57 ) 	- 	≧31000w/</t>
    </r>
    <r>
      <rPr>
        <sz val="8"/>
        <rFont val="Noto Sans CJK SC"/>
        <family val="2"/>
        <charset val="1"/>
      </rPr>
      <t xml:space="preserve">㎡ </t>
    </r>
    <r>
      <rPr>
        <sz val="8"/>
        <rFont val="Arial"/>
        <family val="0"/>
        <charset val="1"/>
      </rPr>
      <t xml:space="preserve">	44352.1 	OK
  	  	  	  	NA0.70 Annular
( 0.85 / 0.55 ) 	- 	≧31000w/</t>
    </r>
    <r>
      <rPr>
        <sz val="8"/>
        <rFont val="Noto Sans CJK SC"/>
        <family val="2"/>
        <charset val="1"/>
      </rPr>
      <t xml:space="preserve">㎡ </t>
    </r>
    <r>
      <rPr>
        <sz val="8"/>
        <rFont val="Arial"/>
        <family val="0"/>
        <charset val="1"/>
      </rPr>
      <t xml:space="preserve">	45331.0 	OK
  	  	  	  	NA0.80 Quad
( 0.88 / 0.67 25deg) 	- 	≧7000w/</t>
    </r>
    <r>
      <rPr>
        <sz val="8"/>
        <rFont val="Noto Sans CJK SC"/>
        <family val="2"/>
        <charset val="1"/>
      </rPr>
      <t xml:space="preserve">㎡ </t>
    </r>
    <r>
      <rPr>
        <sz val="8"/>
        <rFont val="Arial"/>
        <family val="0"/>
        <charset val="1"/>
      </rPr>
      <t xml:space="preserve">	10881.2 	OK
  	  	  	  	NA0.80 Quad
( 0.85 / 0.55 25deg) 	- 	≧8500w/</t>
    </r>
    <r>
      <rPr>
        <sz val="8"/>
        <rFont val="Noto Sans CJK SC"/>
        <family val="2"/>
        <charset val="1"/>
      </rPr>
      <t xml:space="preserve">㎡ </t>
    </r>
    <r>
      <rPr>
        <sz val="8"/>
        <rFont val="Arial"/>
        <family val="0"/>
        <charset val="1"/>
      </rPr>
      <t xml:space="preserve">	12564.5 	OK
  	  	  	  	NA0.80 Quad
( 0.80 / 0.55 25deg) 	- 	≧8500w/</t>
    </r>
    <r>
      <rPr>
        <sz val="8"/>
        <rFont val="Noto Sans CJK SC"/>
        <family val="2"/>
        <charset val="1"/>
      </rPr>
      <t xml:space="preserve">㎡ </t>
    </r>
    <r>
      <rPr>
        <sz val="8"/>
        <rFont val="Arial"/>
        <family val="0"/>
        <charset val="1"/>
      </rPr>
      <t xml:space="preserve">	12632.2 	OK
  	  	  	  	NA0.80 C-Quad
( 0.90 / 0.70 60deg ) 	- 	≧17000w/</t>
    </r>
    <r>
      <rPr>
        <sz val="8"/>
        <rFont val="Noto Sans CJK SC"/>
        <family val="2"/>
        <charset val="1"/>
      </rPr>
      <t xml:space="preserve">㎡ </t>
    </r>
    <r>
      <rPr>
        <sz val="8"/>
        <rFont val="Arial"/>
        <family val="0"/>
        <charset val="1"/>
      </rPr>
      <t xml:space="preserve">	25452.6 	OK
  	  	  	  	NA0.80 C-Quad
( 0.92 / 0.72 60deg ) 	- 	≧17000w/</t>
    </r>
    <r>
      <rPr>
        <sz val="8"/>
        <rFont val="Noto Sans CJK SC"/>
        <family val="2"/>
        <charset val="1"/>
      </rPr>
      <t xml:space="preserve">㎡ </t>
    </r>
    <r>
      <rPr>
        <sz val="8"/>
        <rFont val="Arial"/>
        <family val="0"/>
        <charset val="1"/>
      </rPr>
      <t xml:space="preserve">	25451.2 	OK
  	  	  	  	NA0.80 Dipole X
( 0.89 / 0.59 90deg ) 	- 	≧15000w/</t>
    </r>
    <r>
      <rPr>
        <sz val="8"/>
        <rFont val="Noto Sans CJK SC"/>
        <family val="2"/>
        <charset val="1"/>
      </rPr>
      <t xml:space="preserve">㎡ </t>
    </r>
    <r>
      <rPr>
        <sz val="8"/>
        <rFont val="Arial"/>
        <family val="0"/>
        <charset val="1"/>
      </rPr>
      <t xml:space="preserve">	22014.4 	OK
  	  	  	  	NA0.80 Dipole Y
( 0.89 / 0.65 90deg ) 	- 	≧15000w/</t>
    </r>
    <r>
      <rPr>
        <sz val="8"/>
        <rFont val="Noto Sans CJK SC"/>
        <family val="2"/>
        <charset val="1"/>
      </rPr>
      <t xml:space="preserve">㎡ </t>
    </r>
    <r>
      <rPr>
        <sz val="8"/>
        <rFont val="Arial"/>
        <family val="0"/>
        <charset val="1"/>
      </rPr>
      <t xml:space="preserve">	21986.2 	OK
  	  	  	  	NA0.80 Dipole Y
( 0.85 / 0.55 90deg ) 	- 	≧15000W/</t>
    </r>
    <r>
      <rPr>
        <sz val="8"/>
        <rFont val="Noto Sans CJK SC"/>
        <family val="2"/>
        <charset val="1"/>
      </rPr>
      <t xml:space="preserve">㎡ </t>
    </r>
    <r>
      <rPr>
        <sz val="8"/>
        <rFont val="Arial"/>
        <family val="0"/>
        <charset val="1"/>
      </rPr>
      <t xml:space="preserve">	22427.3 	OK
2 	Illumination Uniformity 	NA0.86 σ0.85 	- 	≦0.7</t>
    </r>
    <r>
      <rPr>
        <sz val="8"/>
        <rFont val="Noto Sans CJK SC"/>
        <family val="2"/>
        <charset val="1"/>
      </rPr>
      <t xml:space="preserve">％ </t>
    </r>
    <r>
      <rPr>
        <sz val="8"/>
        <rFont val="Arial"/>
        <family val="0"/>
        <charset val="1"/>
      </rPr>
      <t xml:space="preserve">	0.26 	OK
  	NA0.86 σ0.40 	- 	≦0.7</t>
    </r>
    <r>
      <rPr>
        <sz val="8"/>
        <rFont val="Noto Sans CJK SC"/>
        <family val="2"/>
        <charset val="1"/>
      </rPr>
      <t xml:space="preserve">％ </t>
    </r>
    <r>
      <rPr>
        <sz val="8"/>
        <rFont val="Arial"/>
        <family val="0"/>
        <charset val="1"/>
      </rPr>
      <t xml:space="preserve">	0.29 	OK
  	NA0.86 Annular
( 0.88 / 0.64 ) 	- 	≦0.7</t>
    </r>
    <r>
      <rPr>
        <sz val="8"/>
        <rFont val="Noto Sans CJK SC"/>
        <family val="2"/>
        <charset val="1"/>
      </rPr>
      <t xml:space="preserve">％ </t>
    </r>
    <r>
      <rPr>
        <sz val="8"/>
        <rFont val="Arial"/>
        <family val="0"/>
        <charset val="1"/>
      </rPr>
      <t xml:space="preserve">	0.35 	OK
  	NA0.86 Annular
( 0.93 / 0.74 ) 	- 	≦0.7</t>
    </r>
    <r>
      <rPr>
        <sz val="8"/>
        <rFont val="Noto Sans CJK SC"/>
        <family val="2"/>
        <charset val="1"/>
      </rPr>
      <t xml:space="preserve">％ </t>
    </r>
    <r>
      <rPr>
        <sz val="8"/>
        <rFont val="Arial"/>
        <family val="0"/>
        <charset val="1"/>
      </rPr>
      <t xml:space="preserve">	0.16 	OK
  	NA0.78 Annular
( 0.85 / 0.57 ) 	- 	≦0.8</t>
    </r>
    <r>
      <rPr>
        <sz val="8"/>
        <rFont val="Noto Sans CJK SC"/>
        <family val="2"/>
        <charset val="1"/>
      </rPr>
      <t xml:space="preserve">％ </t>
    </r>
    <r>
      <rPr>
        <sz val="8"/>
        <rFont val="Arial"/>
        <family val="0"/>
        <charset val="1"/>
      </rPr>
      <t xml:space="preserve">	0.34 	OK
  	NA0.86 C-Quad
( 0.88 / 0.64 60deg ) 	- 	≦0.7</t>
    </r>
    <r>
      <rPr>
        <sz val="8"/>
        <rFont val="Noto Sans CJK SC"/>
        <family val="2"/>
        <charset val="1"/>
      </rPr>
      <t xml:space="preserve">％ </t>
    </r>
    <r>
      <rPr>
        <sz val="8"/>
        <rFont val="Arial"/>
        <family val="0"/>
        <charset val="1"/>
      </rPr>
      <t xml:space="preserve">	0.29 	OK
  	  	  	  	NA0.70 Annular
( 0.85 / 0.55 ) 	- 	≦0.7</t>
    </r>
    <r>
      <rPr>
        <sz val="8"/>
        <rFont val="Noto Sans CJK SC"/>
        <family val="2"/>
        <charset val="1"/>
      </rPr>
      <t xml:space="preserve">％ </t>
    </r>
    <r>
      <rPr>
        <sz val="8"/>
        <rFont val="Arial"/>
        <family val="0"/>
        <charset val="1"/>
      </rPr>
      <t xml:space="preserve">	0.16 	OK
  	  	  	  	NA0.80 Quad
( 0.88 / 0.67 25deg) 	- 	≦0.7</t>
    </r>
    <r>
      <rPr>
        <sz val="8"/>
        <rFont val="Noto Sans CJK SC"/>
        <family val="2"/>
        <charset val="1"/>
      </rPr>
      <t xml:space="preserve">％ </t>
    </r>
    <r>
      <rPr>
        <sz val="8"/>
        <rFont val="Arial"/>
        <family val="0"/>
        <charset val="1"/>
      </rPr>
      <t xml:space="preserve">	0.35 	OK
  	  	  	  	NA0.80 Quad
( 0.85 / 0.55 25deg) 	- 	≦0.7</t>
    </r>
    <r>
      <rPr>
        <sz val="8"/>
        <rFont val="Noto Sans CJK SC"/>
        <family val="2"/>
        <charset val="1"/>
      </rPr>
      <t xml:space="preserve">％ </t>
    </r>
    <r>
      <rPr>
        <sz val="8"/>
        <rFont val="Arial"/>
        <family val="0"/>
        <charset val="1"/>
      </rPr>
      <t xml:space="preserve">	0.24 	OK
  	  	  	  	NA0.80 Quad
( 0.80 / 0.55 25deg) 	- 	≦0.7</t>
    </r>
    <r>
      <rPr>
        <sz val="8"/>
        <rFont val="Noto Sans CJK SC"/>
        <family val="2"/>
        <charset val="1"/>
      </rPr>
      <t xml:space="preserve">％ </t>
    </r>
    <r>
      <rPr>
        <sz val="8"/>
        <rFont val="Arial"/>
        <family val="0"/>
        <charset val="1"/>
      </rPr>
      <t xml:space="preserve">	0.26 	OK
  	  	  	  	NA0.80 C-Quad
( 0.90 / 0.70 60deg ) 	- 	≦0.7</t>
    </r>
    <r>
      <rPr>
        <sz val="8"/>
        <rFont val="Noto Sans CJK SC"/>
        <family val="2"/>
        <charset val="1"/>
      </rPr>
      <t xml:space="preserve">％ </t>
    </r>
    <r>
      <rPr>
        <sz val="8"/>
        <rFont val="Arial"/>
        <family val="0"/>
        <charset val="1"/>
      </rPr>
      <t xml:space="preserve">	0.38 	OK
  	  	  	  	NA0.80 C-Quad
( 0.92 / 0.72 60deg ) 	- 	≦0.7</t>
    </r>
    <r>
      <rPr>
        <sz val="8"/>
        <rFont val="Noto Sans CJK SC"/>
        <family val="2"/>
        <charset val="1"/>
      </rPr>
      <t xml:space="preserve">％ </t>
    </r>
    <r>
      <rPr>
        <sz val="8"/>
        <rFont val="Arial"/>
        <family val="0"/>
        <charset val="1"/>
      </rPr>
      <t xml:space="preserve">	0.36 	OK
  	  	  	  	NA0.80 Dipole X
( 0.89 / 0.59 90deg ) 	- 	≦0.7</t>
    </r>
    <r>
      <rPr>
        <sz val="8"/>
        <rFont val="Noto Sans CJK SC"/>
        <family val="2"/>
        <charset val="1"/>
      </rPr>
      <t xml:space="preserve">％ </t>
    </r>
    <r>
      <rPr>
        <sz val="8"/>
        <rFont val="Arial"/>
        <family val="0"/>
        <charset val="1"/>
      </rPr>
      <t xml:space="preserve">	0.41 	OK
  	  	  	  	NA0.80 Dipole Y
( 0.89 / 0.65 90deg ) 	- 	≦0.7</t>
    </r>
    <r>
      <rPr>
        <sz val="8"/>
        <rFont val="Noto Sans CJK SC"/>
        <family val="2"/>
        <charset val="1"/>
      </rPr>
      <t xml:space="preserve">％ </t>
    </r>
    <r>
      <rPr>
        <sz val="8"/>
        <rFont val="Arial"/>
        <family val="0"/>
        <charset val="1"/>
      </rPr>
      <t xml:space="preserve">	0.21 	OK
  	  	  	  	NA0.80 Dipole Y
( 0.85 / 0.55 90deg ) 	- 	≦0.7</t>
    </r>
    <r>
      <rPr>
        <sz val="8"/>
        <rFont val="Noto Sans CJK SC"/>
        <family val="2"/>
        <charset val="1"/>
      </rPr>
      <t xml:space="preserve">％ </t>
    </r>
    <r>
      <rPr>
        <sz val="8"/>
        <rFont val="Arial"/>
        <family val="0"/>
        <charset val="1"/>
      </rPr>
      <t xml:space="preserve">	0.15 	OK
2 	Leveling Drive
Measurement Repeatability 	- 	- 	3σ≦2.0ppm 	1.7 	OK
3 	Wafer Chuck Flatness 	- 	LTV(26×8mm) 	≦0.1μm 	0.093 	OK
  	TTV 	≦1.0μm 	0.94 	OK
4 	ALFC Measurement
Repeatability 	- 	L/R Average 	3σ≦30nm 	12.2 	OK
  	  	  	#4078318 	  	  	  	  	  	  	  	  	For Hynix 	 
Item 	Condition 	Specification 	Result 	Judge
6. X-Y Stage Performance 	  	  	  	  	  	  	  	  	  	  	  	  	 
1 	Stepping Accuracy 	NA0.86 σ0.80 	X1-X 	3σ≦10nm 	5.0 	OK
  	X2-X 	3.4
  	X3-X 	3.5
  	X1-Y 	7.3
  	X2-Y 	7.2
  	X3-Y 	6.7
  	Y1-X 	4.5
  	Y2-X 	4.4
  	Y3-X 	4.5
  	Y1-Y 	6.8
  	Y2-Y 	6.4
  	Y3-Y 	6.4
2 	Stepping Repeatability 	NA0.86 σ0.80 	X 	3σ≦8nm 	3.3 	OK
  	Y 	4.1 	OK
3 	Scaling Accuracy 	- 	X 	≦±0.1ppm 	-0.01 	OK
  	Y 	-0.01
4 	Orthogonality 	- 	- 	≦±0.1ppm 	-0.01 	OK
7. Prealignment Performance 	  	  	  	  	  	  	  	  	  	  	  	  	 
1 	Mechanical
Prealignment Accuracy
( Normal ) 	- 	X 	3σ≦20μm 	5.1 	OK
  	Y 	4.5
  	θ 	3σ≦120μrad 	17.0 	OK
2 	TV Prealignment Accuracy 	- 	X 	Range ≦1.5μm 	0.1 	OK
  	Y 	0.2
  	θ 	Range≦5μrad 	0.4 	OK
8. Throughput Performance 	  	  	  	  	  	  	  	  	  	  	  	  	 
1 	Throughput 	NA0.86 σ0.80
187shot 	Exposure 500J/m2 	≧68w/h 	68.7 	OK
2 	Reticle Changing Time 	- 	- 	≦15sec 	13.8 	OK
  	  	  	#4078318 	  	  	  	  	  	  	  	  	For Hynix 	 
Item 	Condition 	Specification 	Result 	Judge
9. Reliability 	  	  	  	  	  	  	  	  	  	  	  	  	 
1 	Wafer Cycling 	- 	≧500Wafers 	No Trouble 	No Trouble 	OK
2 	Reticle Cycling 	- 	≧200Reticles 	No Trouble 	No Trouble 	OK
10.Others 	  	  	  	  	  	  	  	  	  	  	  	  	 
1 	Scan Synchronization
Accuracy 	ScanSpeed
= 500mm/sec 	MA 	X 	≦3nm 	1.5 	OK
  	Y 	1.1
  	MSD 	X 	≦7nm 	5.2 	OK
  	Y 	2.8
2 	Wafer Particle 	- 	30shot 	10particles
/≧0.2μm 	6.6 	OK
3 	Pellicle
Particle
Checker 	Sensitivity 	- 	Blank Side 	15μm 	15um 	OK
  	Pellicle Side 	20μm 	20um
  	Repeatability 	- 	Blank Side 	≧95% 	98.7 	OK
  	Pellicle Side 	≧95% 	99.8
  	Measurement
area 	- 	Blank Side 	102×134mm 	102×134mm 	OK
  	Pellicle Side 	102×134mm 	102×134mm
4 	Reticle Displacement
Inspection 	- 	Xr 	≦3nm 	2.0 	OK
  	Yr 	1.5
  	Xl 	1.1
  	Yl 	1.0
 </t>
    </r>
  </si>
  <si>
    <t xml:space="preserve">102059</t>
  </si>
  <si>
    <t xml:space="preserve">FPA 3000 SERIES i4 i5 EX3 EX4 EX5 EX6</t>
  </si>
  <si>
    <t xml:space="preserve">Spare Parts for Canon FPA-3000 Series</t>
  </si>
  <si>
    <t xml:space="preserve">28</t>
  </si>
  <si>
    <t xml:space="preserve">All articles are stored in our warehouse in Avezzano, Italy
Manufacturer
Model
Description
Quantity
Texas Instruments
MC780 - P/N 2540169-0001
CCD Camera
Vexta/Oriental Motor
PH554-NA Stepping
Stepping Motor
Olympus
BA124L001 DC Motor + D500 Gearhead
DC Motor and geardeah
2
ISSOKU
GTR080+208LC5
Miniature Ballscrew
Vexta/Oriental Motor
PX243-03A
Stepping Motor and Frame Lens
Vexta/Oriental Motor
C6415-0915
Stepping Motor and Precision Mechanic
Lenses
-
-
-</t>
  </si>
  <si>
    <t xml:space="preserve">75027</t>
  </si>
  <si>
    <t xml:space="preserve">FPA 5000 ES3</t>
  </si>
  <si>
    <t xml:space="preserve">248 nm duv step and scan lithography exposure system</t>
  </si>
  <si>
    <t xml:space="preserve">DEINSTALLED
WAREHOUSED
BARRIER BAGGED
CAN BE INSPECTED BY APPOINTMENT
Laser type: Cymer ELS 6300 dated November 2000
Rasco brine chilling unit model no. BCU 900
Rasco chamber type TBW-CD-140
Weights
*********
Scanner main unit and environmental chamber: 12,010 kg
Temperature control unit: 780 kg
Excimer laser and delivery optics relay unit: 1240 kg</t>
  </si>
  <si>
    <t xml:space="preserve">54816</t>
  </si>
  <si>
    <t xml:space="preserve">DUV lithography exposure system</t>
  </si>
  <si>
    <t xml:space="preserve">De-installed, warehoused, barrier bagged.
Can be inspected by appointment.
Please see attached photos for details.
This system was de-installed from operational condition in the fab in June 
2010.
It has since been warehoused, without climate control and without lens 
purge.
THE 248 NM LASER IS NOT INCLUDED.</t>
  </si>
  <si>
    <t xml:space="preserve">93079</t>
  </si>
  <si>
    <t xml:space="preserve">FPA-5000 ES2 (Open)</t>
  </si>
  <si>
    <t xml:space="preserve">KrF Scanner (NO Laser)</t>
  </si>
  <si>
    <t xml:space="preserve">99883</t>
  </si>
  <si>
    <t xml:space="preserve">FPA-5000 ES2/ES2+</t>
  </si>
  <si>
    <t xml:space="preserve">Spare Parts List:
Work Station
Work Station
Work Station
BG3-3850
PCS CD PCB
BH9-0210
RA Unit
Lifter Unit
Lifter Unit
BG3-4225
LASER INTERFEROMETER
LASER HEAD
LASER HEAD (L)
BG3-4062
SYSTEM
LASER HEAD (R)
BG3-4079
BUILT-IN CONSOLE
CONSOLE
Engineer CONSOLE
BG3-4405
Front Console
BG3-4404
CONTROL RACK
Upper Rack
MAIN CPU PCB
BG3-1405
MAIN CAM PCB
BG3-5526
MAIN REF MEM PCB
BG3-1406
CDIF2 PCB
BG4-8815
IMAGE PROCCESSOR PCB
BG3-6586
OPTF CAP3 PCB
BG4-9307
WF CPU PCB
BG4-6823
WF/RC IF PCB
BG4-6746
R/C CPU PCB
BG4-6745
WF/RC IF PCB
BG4-6746
RT CAM PCB
BG3-5527
RT-CPU PCB
BG3-1041
REF-MEM(RT) PCB
BG3-1045
DMP-PREAMP PCB
BG3-3822
DMP-DSP PCB
BG3-3823
AIN-IF PCB
BG3-3824
MLE-IF PCB
BG3-3825
LASER-IF PCB (WX)
BG3-3826
LASER-IF PCB (WY)
BG3-3827
LASER-IF PCB (R)
BG3-3828
LASER-IF PCB (Z)
BG3-3829
CAP4 PCB
BG3-1050
IO-DSP PCB
BG3-3830
RT-DSP PCB
BG3-3831
CDIF4 PCB
BG3-3832
STG-PREAMP PCB
BG3-3833
PDU
BG3-3846
PM0520/0520
BG3-3842
PM0520/0520
BG3-3842
PM 12/09/05/05
BG3-3845
PM1516
BG3-3843
PM1507/1208
BG3-3844
PM0520/0520
BG3-3842
PM0520/0520
BG3-3842
Lower Rack
RY DRIVE
BG3-6115
RY DRIVE
BG3-6115
WX DRIVE
BG3-6113
WQWZRX DRIVE
BG3-3876
PO DRIVE
BG3-3878
SV/MV DRIVE
BG3-3880
WSM DRIVE
BG3-3879
WSM DRIVE
BG3-3879
WSMZ DRIVE
BG3-7135
WSMZ DRIVE
BG3-7135
WY DRIVE
BG3-6114
WY DRIVE
BG3-6114
CFR DRIVE
BG3-6116
MBY DRIVE
BG3-3881
D-LED PCB
BG3-3863
D-CON1 PCB
BG3-3861
D-CON2 PCB
BG3-3862
MBX-CD PCB
BG3-3869
PM2415
BG3-3854
PM2415
BG3-3854
PM2415
BG3-3854
PM2415
BG3-3854
PM1212V
BG3-3865
PM1507/1507
BG3-3864
PM2415
BG3-3854
PM2415
BG3-3854
PM2415
BG3-3854
PM2415
BG3-3854
PM2415
BG3-3854
PM05/05/05/12
BG3-3860
PM15/15/12/12
BG3-3857
PM05/05/18/18
BG3-3853
BPM1505
BG3-3890
BPM1505
BG3-3890
PM2415FAN
BG3-5548
PM1507/1507
BG3-3864
PM3506
BG3-3859
PM0520/0520
BG3-3842
PM0520/0520
BG3-3842
PM2415
BG3-3854
PM0520/0520
BG3-3842
PM0520/0520
BG3-3842
PM1507/1507
BG3-3864
PM1507/1507
BG3-3864
PM1507/1507
BG3-3864
BPM1207
BG3-3889
BPM0510
BG3-3888
PDU
BG3-3846
PDU
BG3-3846
PDU
BG3-3846
PDU
BG3-3846
PDU
BG3-3846
PDU
BG3-3846
BPDU
BG3-3866
RETICLE CHANGER
(RC-70C0)
Cassette Robot
Cassette Robot
BG4-6736
Cassette Robot Hand
BG4-6737
Reticle Robot
Reticle Robot
BG4-6735
Reticle Robot Hand
BG4-6751
WAFER FEEDING UNIT
TYPE-VIII-R
(R Type)
SH
SH Robot
BG3-4287
PA/SH Control Box
PA/SH Control Box
BG3-4289
PA/SH PCB
BG3-4464
R-Theta Robot
R-Theta Robot
BG3-4290
R-Theta Robot Hand
BG3-4273
SCH-PS PCB
BG3-4436
SCH/INL PCB
BG3-4445
PPC(PPC-70S6)
PPC
PPC Unit
BG4-6365
WAFER FEEDING UNIT
TYPE-VIII-L
(L-Type)
SH
SH
BG3-5899
PA/SH Control Box
PA/SH Control Box
BG3-5901
PA/SH PCB
BG3-4464
R-Theta Robot
R-Theta Robot
BG3-5902
R-Theta Robot Hand
BG3-4273
SCH-PS PCB
BG3-4436
SCH/INL PCB
BG3-4445</t>
  </si>
  <si>
    <t xml:space="preserve">93080</t>
  </si>
  <si>
    <t xml:space="preserve">FPA-5000 ES2+ (Open)</t>
  </si>
  <si>
    <t xml:space="preserve">93081</t>
  </si>
  <si>
    <t xml:space="preserve">99884</t>
  </si>
  <si>
    <t xml:space="preserve">FPA-5000 ES3</t>
  </si>
  <si>
    <t xml:space="preserve">Inline R Type
Spare Parts List:
Main Body
RS Piping Unit
RS-CD PCB
BG3-7879
J-BOX L
SENSOR DIST PCB
BG3-4750
LW-THSW-L2 PCB
BG3-5533
CMCD3 PCB
BG3-7936
OAS-CD2 PCB
BG3-5210
MLE-CD PCB
BG3-5231
AIN SLAVE-L2 PCB
BG5-2136
AIN SLAVE-LSTG PCB
BG3-7882
JBL-MOTHER BOARD
BG3-7883
J-BOX R
SENSOR DIST-R PCB
BG3-5531
AIN SLAVE-R3 PCB
BG5-2138
AIN SLAVE-R1 PCB
BG5-2137
UL-CD3 PCB
BG3-7525
LM-THSW-R2 PCB
BG5-0964
COM-CD PCB
BG3-4397
JBR-MOTHER BOARD
BG3-4392
Main Body Piping Unit
STG CD4 PCB
BG3-7842
MV-CD6 PCB
BG3-7884
STG-SV PCB
BG3-7847
LASER HEAD
LASER Head
BG5-0648
ILLUMINATION SYSTEM
INCOHIRENT
IL5-CD3 PCB
BG3-7508
RA Unit
RA Main Unit
SH CD PCB
BG3-7724
RA CD PCB
BG3-7725
Lifter Unit
Lifter Unit
BG3-4225
BUILT-IN CONSOLE
CONSOLE
CONSOLE
BG3-7321
CONTROL RACK
Upper Rack
MAIN CPU PCB
BG5-0959
MAIN CAM PCB
BG5-0060
MAIN REF MEM PCB
BG5-1890
WF-IF PCB
BG5-1255
RC-IF PCB
BG5-1256
CDIF2 PCB
BG4-8815
IP2 PCB
BG3-7743
HRD2 PCB
BG3-7744
RT-CPU PCB
BG5-0015
HUB UNIT PCB
BG5-0050
REF-MEM(RT) PCB
BG3-1045
DMP-PREAMP PCB
BG3-3822
DMP-DSP PCB
BG3-3823
AIN-IF3 PCB
BG5-0429
MLE-IF2 PCB
BG5-1262
LASER-IF PCB (WX)
BG3-3826
LASER-IF PCB (WY)
BG3-3827
LASER-IF PCB (R)
BG3-3828
LASER-IF PCB (WLC)
BG5-0009
CAP6 PCB
BG3-7924
IO-DSP PCB
BG3-3830
RT-DSP PCB
BG3-3831
CDIF5 PCB
BG5-0430
STG-PREAMP PCB
BG3-3833
PDU
BG3-3846
PM0520/0520
BG3-3842
PM0520/0520
BG3-3842
PM520/05/09/12
BG5-1889
PM1516
BG3-3843
PM1507/1208
BG3-3844
PM0520/0520
BG3-3842
PM0520/0520
BG3-3842
PM1507/1208
BG3-3844
Lower Rack
RY DRIVE
BG5-2510
RY DRIVE
BG5-2510
CRF DRIVE
BG5-2511
WSMXY DRIVE
BG5-2512
WSMXY DRIVE
BG5-2512
WSMZ DRIVE
BG5-0027
PO DRIVE
BG3-7671
SV/MV DRIVE
BG3-3880
WX DRIVE
BG5-2508
WY DRIVE
BG5-2509
WY DRIVE
BG5-2509
WZRX DRIVE
BG5-0026
WQMBY DRIVE
BG5-0025
D-LED PCB
BG3-3863
D-CON1 PCB
BG5-0012
D-CON2 PCB
BG5-0013
MBX-CD PCB
BG3-3869
PSC2-CD PCB
BG5-0014
PM2415
BG3-3854
PM2415
BG3-3854
PM2415
BG3-3854
PM2415
BG3-3854
PM1212V
BG3-3865
PM1507/1507
BG3-3864
PM2415
BG3-3854
PM2415
BG3-3854
PM2415 (SLAVE)
BG5-1211
PM2415
BG3-3854
PM2415 (SLAVE)
BG5-1211
PM05/05/05/12
BG5-1212
PM15/15/12/12
BG3-3857
PM05/05/18/18
BG3-3853
BPM1505
BG3-3890
BPM1505
BG3-3890
PM2415FAN
BG3-5548
PM1507/1507
BG3-3864
DUMMY PM
BG3-6156
PM0520/0520
BG3-3842
PM0520/0520
BG3-3842
PM2415
BG3-3854
PM0520/0520
BG3-3842
PM0520/0520
BG3-3842
PM1507/1507
BG3-3864
PM1507/1507
BG3-3864
PM1507/1507
BG3-3864
PM2415
BG3-3854
BPM1508
BG5-0020
BPM0520
BG5-0024
PDU
BG3-3846
PDU
BG3-3846
PDU
BG3-3846
PDU
BG3-3846
PDU
BG3-3846
PDU
BG3-3846
BPDU
BG3-3866
 </t>
  </si>
  <si>
    <t xml:space="preserve">102153</t>
  </si>
  <si>
    <t xml:space="preserve">FPA-5000ES3</t>
  </si>
  <si>
    <t xml:space="preserve">102687</t>
  </si>
  <si>
    <t xml:space="preserve">FPA-6000 ES5</t>
  </si>
  <si>
    <t xml:space="preserve">248nm (KrF) Scanner</t>
  </si>
  <si>
    <t xml:space="preserve"> Installed - In Production</t>
  </si>
  <si>
    <t xml:space="preserve">102155</t>
  </si>
  <si>
    <t xml:space="preserve">KrF</t>
  </si>
  <si>
    <t xml:space="preserve">102157</t>
  </si>
  <si>
    <t xml:space="preserve">FPA-6000ES6a</t>
  </si>
  <si>
    <t xml:space="preserve">90nm Krf Scanner</t>
  </si>
  <si>
    <t xml:space="preserve">35998</t>
  </si>
  <si>
    <t xml:space="preserve">FPA5000 ES3</t>
  </si>
  <si>
    <t xml:space="preserve">DUV Stepper, Step and Scan System</t>
  </si>
  <si>
    <t xml:space="preserve">-Removal date July 2009
-Deinstalled, crated, barrier bagged
-Can be inspected by appointment
-Bar mirror chipped at end
-Stage possibly damaged
Fitted with Gigaphotonics laser Model: G21K3-1 Date: Jan 2001</t>
  </si>
  <si>
    <t xml:space="preserve">101792</t>
  </si>
  <si>
    <t xml:space="preserve">ILD-4100SR</t>
  </si>
  <si>
    <t xml:space="preserve">Oxide Dry Etcher</t>
  </si>
  <si>
    <t xml:space="preserve">101364</t>
  </si>
  <si>
    <t xml:space="preserve">MPA-600 Super</t>
  </si>
  <si>
    <t xml:space="preserve">Mirror Projection Mask Aligner</t>
  </si>
  <si>
    <t xml:space="preserve">4, 5 and 6 inch</t>
  </si>
  <si>
    <t xml:space="preserve">-System ran in-line with SVG Track
-System used for 1st Mask
-Customer used external 24V power supply
-Illuminator Optics were replaced 2 years ago
-Missing AA1-AA4 PCB’s.
Please check pictures below for more information
General Specification as follows:-
Canon MPA-600 Super
The Canon MPA-600Super is a 1:1 mirror projection mask aligner, which 
features improved overlay accuracy for mass production of VLSI devices. 
It’s development was based on the MPA-600FA and MPA-500FAb. The new design 
achieves better yield, higher throughput and improved stability.
Features
Auto Feeder: Single, cassette to cassette, backside wafer handling
Wafer size: 6”, 5” and 4” sizes available)
Mask size: 7”, 6” and 5” sizes available)
Illumination: 2KW High Pressure Mercury Lamp
Intensity: &gt; 600mW / cm2 (6 inch wafer)
Illumination Uniformity: + 3% Aperture sizes: 0.7, 0.6, 0.5 Exposure 
Uniformity: + 3%
Resolution: 1.5um
Depth of Focus: &gt; + 6um (linewidth 1.5um)
Magnification: &lt; 0.2um (PDC ON)
Distortion: 3sigma &lt; 0.5um (PDC OFF)
Scanning Accuracy: &lt; + 1.5%
Auto Alignment Accuracy: LBS AA 3sigma &lt; 0.58um (HeNe laser beam scan) TV 
AA 3sigma &lt; 0.43um (TV image processing)
Throughput (6”wafer): &gt; 89 wfs/h (first mask mode) &gt; 77 wfs/h (LBS AA 
mode) &gt; 68 wfs/h (TVAA mode)</t>
  </si>
  <si>
    <t xml:space="preserve">103071</t>
  </si>
  <si>
    <t xml:space="preserve">Surpass 300</t>
  </si>
  <si>
    <t xml:space="preserve">Stripper/Asher</t>
  </si>
  <si>
    <t xml:space="preserve">103072</t>
  </si>
  <si>
    <t xml:space="preserve">103073</t>
  </si>
  <si>
    <t xml:space="preserve">103074</t>
  </si>
  <si>
    <t xml:space="preserve">103075</t>
  </si>
  <si>
    <t xml:space="preserve">103076</t>
  </si>
  <si>
    <t xml:space="preserve">103077</t>
  </si>
  <si>
    <t xml:space="preserve">103078</t>
  </si>
  <si>
    <t xml:space="preserve">103079</t>
  </si>
  <si>
    <t xml:space="preserve">103080</t>
  </si>
  <si>
    <t xml:space="preserve">103081</t>
  </si>
  <si>
    <t xml:space="preserve">102159</t>
  </si>
  <si>
    <t xml:space="preserve">Carl Zeiss</t>
  </si>
  <si>
    <t xml:space="preserve">Axiospect 300</t>
  </si>
  <si>
    <t xml:space="preserve">Wafer inspection microscope</t>
  </si>
  <si>
    <t xml:space="preserve">102166</t>
  </si>
  <si>
    <t xml:space="preserve">Axiotron-2</t>
  </si>
  <si>
    <t xml:space="preserve">Inspection Microscope</t>
  </si>
  <si>
    <t xml:space="preserve">102165</t>
  </si>
  <si>
    <t xml:space="preserve">Micro scope</t>
  </si>
  <si>
    <t xml:space="preserve">102161</t>
  </si>
  <si>
    <t xml:space="preserve">Microcope</t>
  </si>
  <si>
    <t xml:space="preserve">102160</t>
  </si>
  <si>
    <t xml:space="preserve">Microscope</t>
  </si>
  <si>
    <t xml:space="preserve">102162</t>
  </si>
  <si>
    <t xml:space="preserve">102163</t>
  </si>
  <si>
    <t xml:space="preserve">102164</t>
  </si>
  <si>
    <t xml:space="preserve">102167</t>
  </si>
  <si>
    <t xml:space="preserve">103025</t>
  </si>
  <si>
    <t xml:space="preserve">Cascade Microtech</t>
  </si>
  <si>
    <t xml:space="preserve">Summit 9000</t>
  </si>
  <si>
    <t xml:space="preserve">Analytical Probe Station</t>
  </si>
  <si>
    <t xml:space="preserve"> The Summit 9000 uses a flexible, modular design to accommodate the full 
range of Cascade microwave and digital microprobing tools. Square 6” x 6” 
wafer stage. Independent stage vacuum permits an impedance standard 
substrate, a constant substrate and a test wafer to be carried 
simultaneously. X-Y stage transition and linear Z-lift.</t>
  </si>
  <si>
    <t xml:space="preserve">103149</t>
  </si>
  <si>
    <t xml:space="preserve">CEE </t>
  </si>
  <si>
    <t xml:space="preserve">200</t>
  </si>
  <si>
    <t xml:space="preserve">Photoresist Manual Developer</t>
  </si>
  <si>
    <t xml:space="preserve">103150</t>
  </si>
  <si>
    <t xml:space="preserve">CB-200 </t>
  </si>
  <si>
    <t xml:space="preserve">Photoresist Coater Bake System</t>
  </si>
  <si>
    <t xml:space="preserve">102952</t>
  </si>
  <si>
    <t xml:space="preserve">CETEK</t>
  </si>
  <si>
    <t xml:space="preserve">HAWK-1000M</t>
  </si>
  <si>
    <t xml:space="preserve">Bond Pull Tester</t>
  </si>
  <si>
    <t xml:space="preserve">103151</t>
  </si>
  <si>
    <t xml:space="preserve">CHA  </t>
  </si>
  <si>
    <t xml:space="preserve">Mark 40 </t>
  </si>
  <si>
    <t xml:space="preserve">E-Beam Evaporator</t>
  </si>
  <si>
    <t xml:space="preserve">Configuration: 4 Pockets, Planetary or Lift Off Fixturing, up to 200mm</t>
  </si>
  <si>
    <t xml:space="preserve">100701</t>
  </si>
  <si>
    <t xml:space="preserve">Climats</t>
  </si>
  <si>
    <t xml:space="preserve">EXCAL 7728 HE</t>
  </si>
  <si>
    <t xml:space="preserve">Environmental Test Chamber</t>
  </si>
  <si>
    <t xml:space="preserve">Reliability</t>
  </si>
  <si>
    <t xml:space="preserve">103027</t>
  </si>
  <si>
    <t xml:space="preserve">CM Furnace</t>
  </si>
  <si>
    <t xml:space="preserve">1712 BL</t>
  </si>
  <si>
    <t xml:space="preserve">Rapid Temp Bottom Load 1700� C Furnace</t>
  </si>
  <si>
    <t xml:space="preserve">NEW NEVER USED. Digital Programmable Ramp and Soak controller. Independent 
Overtemperature controller. Inside dimensions 12" x !2" x 12". Maximum 
temperature 1700� C. Bottom of chamber has motorized up and down movement 
for transfering the product into the heated zone.</t>
  </si>
  <si>
    <t xml:space="preserve">102578</t>
  </si>
  <si>
    <t xml:space="preserve">Coherent</t>
  </si>
  <si>
    <t xml:space="preserve">CL Advanced</t>
  </si>
  <si>
    <t xml:space="preserve">Laser Marking System for Continous Operation</t>
  </si>
  <si>
    <t xml:space="preserve">as new</t>
  </si>
  <si>
    <t xml:space="preserve">Tool condition: as new.
The CombiLine Advanced Laser Marking system is available in different 
versions either for standing or seated work position, with rotary table 
(model RT) or work table (model WT). The laser marking system can be 
equipped with the optimum laser source for designated applications. With 
motorized axes even marking of workpieces with complex geometry is a 
breeze. Process visualization through touchscreen ensures maximum ease of 
use.
CombiLine Advanced
-Mounts a Rofin Laser
-Spacious workroom
-Available in worktable (WT) or two stations rotary indexing table (RT)
-Selectable laser markers of different power classes and wavelengths
-Programmable z-axis
-Innovative operating concept
Please check pictures below for more information.</t>
  </si>
  <si>
    <t xml:space="preserve">87984</t>
  </si>
  <si>
    <t xml:space="preserve">COMDEL</t>
  </si>
  <si>
    <t xml:space="preserve">101738</t>
  </si>
  <si>
    <t xml:space="preserve">CB-5000</t>
  </si>
  <si>
    <t xml:space="preserve">6 Months Warranty
Please check pictures below for more information.</t>
  </si>
  <si>
    <t xml:space="preserve">87985</t>
  </si>
  <si>
    <t xml:space="preserve">87986</t>
  </si>
  <si>
    <t xml:space="preserve">CDX-2000</t>
  </si>
  <si>
    <t xml:space="preserve">87987</t>
  </si>
  <si>
    <t xml:space="preserve">CDX-2500</t>
  </si>
  <si>
    <t xml:space="preserve">87988</t>
  </si>
  <si>
    <t xml:space="preserve">CLX-10K</t>
  </si>
  <si>
    <t xml:space="preserve">30</t>
  </si>
  <si>
    <t xml:space="preserve">87989</t>
  </si>
  <si>
    <t xml:space="preserve">CLX-1250</t>
  </si>
  <si>
    <t xml:space="preserve">87990</t>
  </si>
  <si>
    <t xml:space="preserve">CLX-1250S</t>
  </si>
  <si>
    <t xml:space="preserve">87991</t>
  </si>
  <si>
    <t xml:space="preserve">CLX-2500</t>
  </si>
  <si>
    <t xml:space="preserve">13</t>
  </si>
  <si>
    <t xml:space="preserve">87992</t>
  </si>
  <si>
    <t xml:space="preserve">CPS-1001</t>
  </si>
  <si>
    <t xml:space="preserve">87993</t>
  </si>
  <si>
    <t xml:space="preserve">CX-10K</t>
  </si>
  <si>
    <t xml:space="preserve">7</t>
  </si>
  <si>
    <t xml:space="preserve">87994</t>
  </si>
  <si>
    <t xml:space="preserve">CX-600AS</t>
  </si>
  <si>
    <t xml:space="preserve">87995</t>
  </si>
  <si>
    <t xml:space="preserve">LFMN  MATCH</t>
  </si>
  <si>
    <t xml:space="preserve">87997</t>
  </si>
  <si>
    <t xml:space="preserve">COMET</t>
  </si>
  <si>
    <t xml:space="preserve">10007680</t>
  </si>
  <si>
    <t xml:space="preserve">87998</t>
  </si>
  <si>
    <t xml:space="preserve">10011155</t>
  </si>
  <si>
    <t xml:space="preserve">87996</t>
  </si>
  <si>
    <t xml:space="preserve">101187</t>
  </si>
  <si>
    <t xml:space="preserve">87999</t>
  </si>
  <si>
    <t xml:space="preserve">20031687</t>
  </si>
  <si>
    <t xml:space="preserve">88000</t>
  </si>
  <si>
    <t xml:space="preserve">20045667</t>
  </si>
  <si>
    <t xml:space="preserve">102646</t>
  </si>
  <si>
    <t xml:space="preserve">LCD Line</t>
  </si>
  <si>
    <t xml:space="preserve">TFT LCD Display Modules Production Line</t>
  </si>
  <si>
    <r>
      <rPr>
        <sz val="8"/>
        <rFont val="Arial"/>
        <family val="0"/>
        <charset val="1"/>
      </rPr>
      <t xml:space="preserve">Manufacturer 	Model 	Description
UNAXIS 	UNI800ECO 	Sputter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ITO depotision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Source AI/Nd depotision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Gate W/TaN depotision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AI-Nd depotision
ULVAC 	SMD-750B 	Sputter
ULVAC 	SMD-750B 	Sputter
ULVAC 	SMD-750B 	Sputter
ULVAC 	SMD-750B 	Sputter
ULVAC 	SMD-750BX 	Sputter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AKT 	AKT-4300CCVD 	CVD
AKT 	AKT-4300CVD 	CVD
AKT 	AKT-4300CVD 	CVD
AKT 	AKT-4300CVD 	CVD
AKT 	AKT-4300CVD 	CVD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CAP depotision (Interlayer)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CAP depotision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CAP depotision (Interlayer)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Gi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before depotision (Interlayer)
IHI 	ISDR-6275 	Ion doping
IHI 	ISDR-6275 	Ion doping
IHI 	ISDR-6275 	Ion doping
IHI 	ISDR-6275 	Ion doping
IHI 	ISDR-6275 	Ion doping
IHI 	ISDR-6275 	Ion doping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after n doping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after n doping
SMIT 	OrionⅡNV6275L 	Ion doping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Sumitomo heavy Industries 	ELA7600TW 	Laser Anneal
Sumitomo heavy Industries 	ELA7600TW 	Laser Anneal
Sumitomo heavy Industries 	ELA7600TW 	Laser Anneal
  	SHI 5400XPS 	 
  	SHI 5400XPS 	 
  	SHI 5400XPS 	 
  	SHI 5400XPS 	 
  	SHI 5400XPS 	 
  	SHI 5400XPS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Laser clean for front and back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Laser clean for front and back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Laser clean for front and back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Laser clean for front and back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Laser clean for front and back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Laser clean for front and back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TEL Tokyo Electron 	ME-700LA2 	Dry Asher
TEL Tokyo Electron 	ME-700LR3 	Dry Etcher
TEL Tokyo Electron 	ME-700LR3 	Dry Etcher
TEL Tokyo Electron 	ME-700LR3 	Dry Etcher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after AI-Si/Ti dry etch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VEJ7520 	Clean after AI-Si/Ti dry etch
TEL Tokyo Electron 	ME-700LI3 	Dry Ashier
TEL Tokyo Electron 	ME-700LI3 	Dry Ashier
TEL Tokyo Electron 	ME-700LI3 	Dry Ashier
TEL Tokyo Electron 	ME-700LI3 	Dry Ashier
TEL Tokyo Electron 	ME-700LI3 	Dry Etcher
TEL Tokyo Electron 	ME-700LI3 	Dry Etcher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DENKO 	W301-096 	Oven (3ch)
DENKO 	W301-106 	Oven (2ch)
DENKO 	W301-097 	Oven (2ch)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NIKON 	FX-701M 	</t>
    </r>
    <r>
      <rPr>
        <sz val="8"/>
        <rFont val="Noto Sans CJK SC"/>
        <family val="2"/>
        <charset val="1"/>
      </rPr>
      <t xml:space="preserve">ｇｈ </t>
    </r>
    <r>
      <rPr>
        <sz val="8"/>
        <rFont val="Arial"/>
        <family val="0"/>
        <charset val="1"/>
      </rPr>
      <t xml:space="preserve">line stepper
NIKON 	FX-701M 	</t>
    </r>
    <r>
      <rPr>
        <sz val="8"/>
        <rFont val="Noto Sans CJK SC"/>
        <family val="2"/>
        <charset val="1"/>
      </rPr>
      <t xml:space="preserve">ｇｈ </t>
    </r>
    <r>
      <rPr>
        <sz val="8"/>
        <rFont val="Arial"/>
        <family val="0"/>
        <charset val="1"/>
      </rPr>
      <t xml:space="preserve">line stepper
NIKON 	FX-701M 	</t>
    </r>
    <r>
      <rPr>
        <sz val="8"/>
        <rFont val="Noto Sans CJK SC"/>
        <family val="2"/>
        <charset val="1"/>
      </rPr>
      <t xml:space="preserve">ｇｈ </t>
    </r>
    <r>
      <rPr>
        <sz val="8"/>
        <rFont val="Arial"/>
        <family val="0"/>
        <charset val="1"/>
      </rPr>
      <t xml:space="preserve">line stepper
NIKON 	FX-701M 	</t>
    </r>
    <r>
      <rPr>
        <sz val="8"/>
        <rFont val="Noto Sans CJK SC"/>
        <family val="2"/>
        <charset val="1"/>
      </rPr>
      <t xml:space="preserve">ｇｈ </t>
    </r>
    <r>
      <rPr>
        <sz val="8"/>
        <rFont val="Arial"/>
        <family val="0"/>
        <charset val="1"/>
      </rPr>
      <t xml:space="preserve">line stepper
NIKON 	FX-701M 	</t>
    </r>
    <r>
      <rPr>
        <sz val="8"/>
        <rFont val="Noto Sans CJK SC"/>
        <family val="2"/>
        <charset val="1"/>
      </rPr>
      <t xml:space="preserve">ｇｈ </t>
    </r>
    <r>
      <rPr>
        <sz val="8"/>
        <rFont val="Arial"/>
        <family val="0"/>
        <charset val="1"/>
      </rPr>
      <t xml:space="preserve">line stepper
NIKON 	FX-701M 	</t>
    </r>
    <r>
      <rPr>
        <sz val="8"/>
        <rFont val="Noto Sans CJK SC"/>
        <family val="2"/>
        <charset val="1"/>
      </rPr>
      <t xml:space="preserve">ｇｈ </t>
    </r>
    <r>
      <rPr>
        <sz val="8"/>
        <rFont val="Arial"/>
        <family val="0"/>
        <charset val="1"/>
      </rPr>
      <t xml:space="preserve">line stepper
TEL Tokyo Electron 	CS800M 	Coater/Developer
TEL Tokyo Electron 	CS800M 	Coater/Developer
TEL Tokyo Electron 	CS800M 	Coater/Developer
TEL Tokyo Electron 	CS800M 	Coater/Developer
TEL Tokyo Electron 	CS800M 	Coater/Developer
TEL Tokyo Electron 	CS800M 	Coater/Developer (Organic film)
Toray Engineering 	TRE-75 	Outskirts exposure (CDS#3)
Toray Engineering 	TRE-75 	Outskirts exposure (CDS#4)
Toray Engineering 	TRE-75 	Outskirts exposure (CDS#6)
Toray Engineering 	THTE-75/2 	Titler (CDS#1)
Toray Engineering 	THTE-75/2 	Titler (CDS#2)
Toray Engineering 	THTE-75/2 	Titler (CDS#5)
MTJ 	P505 	Developer ?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Transfer
MTJ 	P471-1 	Cassette cleaner
Shibaura Mechatronics 	HCⅡ W-CCCRWC-UL 	Resist stripper
Shibaura Mechatronics 	HCⅡ W-CCCRWC-UL 	Resist stripper
Shibaura Mechatronics 	HCⅡ W-CCCRWC-UR 	Resist stripper
Shibaura Mechatronics 	HCⅡ W-CCCRWC-UR 	Resist stripper
DNS 	61540-1408 	AL wet etch
DNS 	61540-1409 	ITO wet etch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Shibaura Mechatronics 	HCⅡ W-CWWAC-UL 	Alkali cleaning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Gasonics International Corporation 	RTS7000 	RTA
Gasonics International Corporation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Gasonics International Corporation 	RTS7000 	RTA
Gasonics International Corporation 	MCA7000 	Furness
Gasonics International Corporation 	  	Loader/Unloader
Internal design + Shibaura 	  	BG Coater
Internal design + Shibaura 	  	Clean before BG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Technos 	TREX-1 	Reflection X-ray fluorescence (atmosphere)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Tokyo Cathode Laboratory 	M8701-W 	Inspection for E
Wintest 	WTS-103C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Tokyo Cathode Laboratory 	M8701-OH 	Inspection for M
Agilent Technology 	SPECS4072A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Toray Engineering 	HS730 	Screen Inspection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Otsuka Electronics 	RETS-RE 	Reflectance measurement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Daitron 	  	Sheet resistance measurement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Orbotech 	FPI6030 	Pattern inspection
Orbotech 	FPI6030 	Pattern inspection
Orbotech 	FPI6030 	Pattern inspection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Seika Corporation 	SE-FPD 	Ellipsometer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Internal design 	TYPE1 	Inspection after SPC
Olympus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Internal design 	TYPE2 	Inspection after laser
Olympus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Technos 	  	X-ray film thickness measurement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Olympus 	AR2045 	Auto line width measurement
Olympus 	AR2045 	Auto line width measurement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Olympus 	AM1035 	Auto macro inspection
Olympus 	AM1035 	Auto macro inspection
Olympus 	SHL-735 	Manual Microscope
Olympus 	SHL-735 	Manual Microscope
Olympus 	SHL-735LW 	Manual Microscope
Olympus 	SHL-235 	Manual Microscope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SMS</t>
    </r>
    <r>
      <rPr>
        <sz val="8"/>
        <rFont val="Noto Sans CJK SC"/>
        <family val="2"/>
        <charset val="1"/>
      </rPr>
      <t xml:space="preserve">（</t>
    </r>
    <r>
      <rPr>
        <sz val="8"/>
        <rFont val="Arial"/>
        <family val="0"/>
        <charset val="1"/>
      </rPr>
      <t xml:space="preserve">Shibaura</t>
    </r>
    <r>
      <rPr>
        <sz val="8"/>
        <rFont val="Noto Sans CJK SC"/>
        <family val="2"/>
        <charset val="1"/>
      </rPr>
      <t xml:space="preserve">） </t>
    </r>
    <r>
      <rPr>
        <sz val="8"/>
        <rFont val="Arial"/>
        <family val="0"/>
        <charset val="1"/>
      </rPr>
      <t xml:space="preserve">	  	Loader/Unloader
Hitachi Plant Mechanics 	  	Auto Guided Vehicle
Hitachi Plant Mechanics 	  	Buffer Stocker
Kobelco Eco-Solutions 	  	Alkali Unit
Kobelco Eco-Solutions 	OM-224-87L-28P 	Ozone Unit
Kobelco Eco-Solutions 	OM-224-87L-28P 	Ozone Unit
Nagase Corporation 	</t>
    </r>
    <r>
      <rPr>
        <sz val="8"/>
        <rFont val="Noto Sans CJK SC"/>
        <family val="2"/>
        <charset val="1"/>
      </rPr>
      <t xml:space="preserve">ＤＤＳ</t>
    </r>
    <r>
      <rPr>
        <sz val="8"/>
        <rFont val="Arial"/>
        <family val="0"/>
        <charset val="1"/>
      </rPr>
      <t xml:space="preserve">-21-</t>
    </r>
    <r>
      <rPr>
        <sz val="8"/>
        <rFont val="Noto Sans CJK SC"/>
        <family val="2"/>
        <charset val="1"/>
      </rPr>
      <t xml:space="preserve">Ｍ</t>
    </r>
    <r>
      <rPr>
        <sz val="8"/>
        <rFont val="Arial"/>
        <family val="0"/>
        <charset val="1"/>
      </rPr>
      <t xml:space="preserve">2 	Development liquid mixing
Nagase Corporation 	</t>
    </r>
    <r>
      <rPr>
        <sz val="8"/>
        <rFont val="Noto Sans CJK SC"/>
        <family val="2"/>
        <charset val="1"/>
      </rPr>
      <t xml:space="preserve">ＤＭＳⅡ </t>
    </r>
    <r>
      <rPr>
        <sz val="8"/>
        <rFont val="Arial"/>
        <family val="0"/>
        <charset val="1"/>
      </rPr>
      <t xml:space="preserve">	Development liquid recycle
Nagase Corporation 	</t>
    </r>
    <r>
      <rPr>
        <sz val="8"/>
        <rFont val="Noto Sans CJK SC"/>
        <family val="2"/>
        <charset val="1"/>
      </rPr>
      <t xml:space="preserve">ＤＤＳ</t>
    </r>
    <r>
      <rPr>
        <sz val="8"/>
        <rFont val="Arial"/>
        <family val="0"/>
        <charset val="1"/>
      </rPr>
      <t xml:space="preserve">-21-</t>
    </r>
    <r>
      <rPr>
        <sz val="8"/>
        <rFont val="Noto Sans CJK SC"/>
        <family val="2"/>
        <charset val="1"/>
      </rPr>
      <t xml:space="preserve">Ｍ</t>
    </r>
    <r>
      <rPr>
        <sz val="8"/>
        <rFont val="Arial"/>
        <family val="0"/>
        <charset val="1"/>
      </rPr>
      <t xml:space="preserve">2 	Development liquid mixing
Iwatani Corporation 	NSP-4 	Scrubber for CVD
Iwatani Corporation 	F6OD 	Scrubber for CVD
Taiyo Nippon Sanso 	RA-6MSL 	Scrubber for DRY Etcher
Hitachi 	  	Scrubber for DRY Etcher
Technos 	  	Reflection X-ray fluorescence(V type)
Toho Technology 	  	Level difference measurement
PDI 	  	Array inspection
IHI 	  	PDI inspection </t>
    </r>
    <r>
      <rPr>
        <sz val="8"/>
        <rFont val="Noto Sans CJK SC"/>
        <family val="2"/>
        <charset val="1"/>
      </rPr>
      <t xml:space="preserve">Ｅ</t>
    </r>
  </si>
  <si>
    <t xml:space="preserve">94021</t>
  </si>
  <si>
    <t xml:space="preserve">Semiconductor Assembly</t>
  </si>
  <si>
    <t xml:space="preserve">R and D Production line</t>
  </si>
  <si>
    <t xml:space="preserve">Our clients, a small semiconductor engineering shop in the USA, are closing 
down.
They were doing semiconductor device assembly, and they are having a 
liquidation.
If you are setting up a laboratory for semiconductor packaging technology, 
this would be  good opportunity for you to pick up a range of equipment at 
a good price.
We are selling and liquidating all equipment stock and spare parts 
including:-
Vacuum ovens,
Automatic wire bonders,
Manual wire bonders and pull testers
Manual Laser Trimmers
Chillers, heat exchangers
Microelectronic package seam welders
Microscopes and spare parts
Centrifuges
Screen printers
Film Developers
Lab atmosphere Particle detectors and counters
Electronic test equipment – lab power supplies- High voltage, high power 
and low voltage, DMMs, pulse generators, RF sources and plumbing, RF power 
meters and detectors.
High Power RF generators for ionization, cooking
Transformer and coil winding machines, heavy to very fine wire, magnetics 
test instruments, core stock
Equipment cabinets &amp; Racks – table top and freestanding.
Etc.
I have attached a excel file of  a partial list of  the equipment. There is 
a lot more available!. (We will send the revised list to those who request 
it.).
Please advise if interested to make an offer for individual items or the 
whole thing.
List of Equipment in html format:-
ITEM 	QTY 	MANUFACTURER 	MODEL # 	DESCRIPTION 	CATEGORY
1 	3 	CUSTOM 	NMN 	DRY BOXES, PLEXIGLASS, 12"X12"X12" DEEP, 1 DOOR, 3 
SHELVES. 	CLEAN ROOM HEPA FILTERS, ETC.
2 	4 	CUSTOM 	NMN 	DRY BOXES, PLEXIGLASS, 18"X18"X14" DEEP, 2 DOOR, 4
SHELVES. 	CLEAN ROOM HEPA FILTERS, ETC.
3 	1 	LIBERTY 	NMN 	PASS THRU BOX, STAINLESS STEEL, PLEXIGLASS PASS THRU
DOORS, 24"X24"X24" DEEP 	CLEAN ROOM HEPA FILTERS, ETC.
4 	  	  	  	  	 
5 	1 	PMS 	LASAIR 510 	LASER PARTICLE COUNTER, 0.5 TO 10 UM 	CLEAN ROOM 
HEPA FILTERS, ETC.
6 	1 	PMS 	LPC 101 	LASER PARTICLE COUNTER, 0.1 TO 1 UM 	CLEAN ROOM HEPA 
FILTERS, ETC.
7 	1 	PMS 	LPC 555 	LASER PARTICLE COUNTER, 0.3, 0.5, 1.5 UM 	CLEAN ROOM 
HEPA FILTERS, ETC.
8 	1 	PMS 	LPC 1001 	LASER PARTICLE COUNTER, 0.1 TO 1 UM 	CLEAN ROOM HEPA 
FILTERS, ETC.
9 	  	  	  	  	 
10 	  	  	  	  	 
11 	  	  	  	  	 
12 	1 	PURE AIRE 	NMN 	DESCICCATOR CABINET WITH BUILT HEPA FILTER 	CLEAN 
ROOM HEPA FILTERS, ETC.
13 	1 	ULTRA CLEAN PRODS 	1400-SA 	MOTORIZED SHOE CLEANER WITH BUILT-IN 
VACUUM 	CLEAN ROOM HEPA FILTERS, ETC.
14 	3 	MCT 	6603 	DIE REMOVER, HYDROGEN FLAME REWORK MACHINE 	DIE ATTACH &amp; 
REMOVAL
EQUIPMENT
15 	2 	SEC 	4450 	DIE REMOVER, HOT GAS (HOT SHOT) REWORK MACHINE 	DIE 
ATTACH &amp; REMOVAL
EQUIPMENT
16 	1 	SEMI EQUIP. CORP. 	1000-1041 	TWEEZER BONDER 	DIE ATTACH &amp; REMOVAL
EQUIPMENT
17 	8 	SEMI EQUIP. CORP. 	4400A 	DIE REMOVER, HOT GAS (HOT SHOT) REWORK 
MACHINE 	DIE ATTACH &amp; REMOVAL
EQUIPMENT
18 	2 	K&amp;S 	6490 	AUTOMATIC EPOXY DIE BONDER, FOR HYBRID MICROCIRCUITS, 
LARGE AREA, COMPUTER, DISPLAY, DISPENSER, MANUALS. 	DIE ATTACH EQUIPMENT
19 	2 	SEMI EQUIP. CORP. 	4000 	EUTECTIC DIE BONDER WITH SINGLE HOT GAS 
JETS AND HEATED
WORK HOLDER 	DIE ATTACH EQUIPMENT
20 	2 	SEMI EQUIP. CORP. 	4000 	EUTECTIC DIE BONDER WITH DUAL HOT GAS JETS 
AND HEATED
WORK HOLDER 	DIE ATTACH EQUIPMENT
21 	4 	WESTBOND 	7316A 	EUTECTIC DIE ATTACH, MICROSCOPE, HEATED CHUCK 	DIE 
ATTACH EQUIPMENT
22 	  	  	  	  	 
23 	1 	BLUE M 	MR3201A 	TEMPERATURE BATH, 12"X8"X6", STAINLESS STEEL 	HEAT 
EXCHANGERS, CHILLERS,
BATHS
24 	1 	FTS SYSTEMS 	LDFB-75C-2 	TEMPERATURE BATH, HEAT EXCHANGER, 
2'X1'X1.5' 	HEAT EXCHANGERS, CHILLERS,
BATHS
25 	1 	HAAKE 	KT 33 	TEMPERATURE BATH, HEAT EXCHANGER 	HEAT EXCHANGERS, 
CHILLERS,
BATHS
26 	2 	LAUDA 	K-4/R 	TEMPERATURE BATH, HEAT EXCHANGER 	HEAT EXCHANGERS, 
CHILLERS,
BATHS
27 	1 	NESLAB 	750 	ENDOCAL 750, HEAT EXCHANGER 	HEAT EXCHANGERS, CHILLERS,
BATHS
28 	1 	NESLAB 	850 	ENDOCAL 850, HEAT EXCHANGER 	HEAT EXCHANGERS, CHILLERS,
BATHS
29 	1 	NESLAB 	EN-350 	FLOW-THRU COOLER 	HEAT EXCHANGERS, CHILLERS,
BATHS
30 	1 	NESLAB 	EX200 	EXACAL 	HEAT EXCHANGERS, CHILLERS,
BATHS
31 	1 	NESLAB 	RTE 5B 	ENDOCAL TEMPERATURE BATH 	HEAT EXCHANGERS, CHILLERS,
BATHS
32 	1 	NESLAB 	RTE 5DD 	TEMPERATURE BATH, HEAT EXCHANGER 	HEAT EXCHANGERS, 
CHILLERS,
BATHS
33 	2 	NESLAB 	RTE-5B 	ENDOCAL TEMPERATURE BATH 	HEAT EXCHANGERS, CHILLERS,
BATHS
34 	2 	VISTA SCIENTIFIC 	NMN 	HELIUM CHILLER 	HEAT EXCHANGERS, CHILLERS,
BATHS
35 	3 	ATHENA CONTROLS 	EKESI-100 	TEMPERATURE CONTROLLER, 30A LOAD SWITCH,
THERMOCOUPLE 	HYBRID MANUFACTURING
EQUIPMENT
36 	2 	B &amp; W ENGG 	BW-LPD-B2000 	PIND TESTER 	HYBRID MANUFACTURING
EQUIPMENT
37 	1 	BECKMAN 	L2-65B 	ULTRA CENTRIFUGE, 0 TO 100000 RPM 	HYBRID 
MANUFACTURING
EQUIPMENT
38 	1 	DUPONT 	303100.904 	MOISTURE MONITOR 	HYBRID MANUFACTURING
EQUIPMENT
39 	1 	ELECTROVERT 	NMN 	WAVE DIPPER, LEAD TINNING OPERATION 	HYBRID 
MANUFACTURING
EQUIPMENT
40 	2 	GAST 	240 	VACUUM PUMPING SYSTEMS 	HYBRID MANUFACTURING
EQUIPMENT
41 	  	  	  	  	 
42 	1 	LINDBERG 	NMN 	1500 DEG TUBE FURNACE WITH CONTROLLER 	HYBRID 
MANUFACTURING
EQUIPMENT
43 	1 	NORTON INDS 	NMN 	JAR ROLLERS FOR ALL THICK FILM PASTES, ADJUSTABLE 
ROLLERS,
4 JARS, UP TO 5 GALLON CAPACITY 	HYBRID MANUFACTURING
EQUIPMENT
44 	5 	THERMOLYNE 	NMN 	HOT PLATES, ALL SIZES 	HYBRID MANUFACTURING
EQUIPMENT
45 	1 	TRIO-TECH 	481 &amp; 481F 	BUBBLE TESTER &amp; FILTER 	HYBRID MANUFACTURING
EQUIPMENT
46 	1000'S 	CUSTOM 	NMN 	GRAPHITE TOOLING 1000'S FOR SUBSTRATE ATTACH 	
HYBRID MANUFACTURING TOOLING
47 	1000'S 	CUSTOM 	NMN 	TOOLING, SUBSTRATE, ATTACH 	HYBRID MANUFACTURING 
TOOLING
48 	4 	TERRA UNIVERSAL 	NMN 	INSPECTION STATION, PLEXIGLASS, PARTICLE 
CONTROLLED, AIR
BLOWERS AND LIGHTS 	INSPECTION STATIONS
49 	1 	CARPENTER MFG 	88-D 	MAGNET WIRE STRIPPER 	MAGNETICS MANUFACTURING
EQUIPMENT
50 	1 	CLARK HESS 	MODEL 258 	VAW METER, DIGITAL 	MAGNETICS MANUFACTURING
EQUIPMENT
51 	1 	GERTSCH 	18R 	RATIO TRAN 	MAGNETICS MANUFACTURING
EQUIPMENT
52 	1 	GERTSCH 	RT7 	RATIO TRAN 	MAGNETICS MANUFACTURING
EQUIPMENT
53 	1 	RUSH 	L2 	WIRE STRIPPER 	MAGNETICS MANUFACTURING
EQUIPMENT
54 	1 	ACCUSEAL 	35-333 	PLASTIC BAG SEALER 	MISCELLANEOUS MANUFACTURING
55 	2 	AMERICAN STERILIZER 	576A 	STERILIZER, CATALOG #613R 	MISCELLANEOUS 
MANUFACTURING
56 	1 	DYNASTAT 	120-2 	IONIZING BLOWER 	MISCELLANEOUS MANUFACTURING
57 	2 	MARKV 	NMN 	AUTOMATIC EPOXY COMPONENT BENDER AND CUTTER, AXIAL
LEAD 	MISCELLANEOUS MANUFACTURING
58 	4 	MEISEL 	P1056-H 	THERMAL WIRE STRIPPER, HOT TWEEZER 	MISCELLANEOUS 
MANUFACTURING
59 	3 	B &amp; L 	NMN 	MICROSCOPE, ILLUMINATORS, RECONDITIONED, 	OPTICAL, 
MICROSCOPES
60 	5 	B &amp; L 	STEREOZOOM 7 	MICROSCOPE, STEREOZOOM 7 WITH A-STAND AND
ILLUMINATOR 10X, 15X, 20X EYEPIECES, RECONDITIONED 	OPTICAL, MICROSCOPES
61 	1 	B &amp; L 	STEREOZOOM 7 	MICROSCOPE, STEREOZOOM 7 WITH A-STAND AND
ILLUMINATOR 10X, 15X, 20X EYEPIECES, RECONDITIONED 	OPTICAL, MICROSCOPES
62 	4 	B &amp; L 	STEREOZOOM 4 	MICROSCOPE, STEREOZOOM 4 WITH E-STAND AND
ILLUMINATOR 10X, 15X, 20X EYEPIECES, RECONDITIONED 	OPTICAL, MICROSCOPES
63 	1 	NIKON 	NMN 	MICROSCOPE, INSPECTION, STEREO, FIXED 10X OR 20X WITH
STAND AND ILLUMINATOR 	OPTICAL, MICROSCOPES
64 	1 	BENCHMARK 	583 	SEALING CHAMBER, 2 PERSON STAINLESS STEEL GLOVE BOX,
MOISTURE GAUGE, 2 VACUUM OVENS, COMPUTER, MONITOR USABLE WITH ANY PACKAGE 
SEALER 	PACKAGE SEALERS AND DELIDDERS
65 	1 	BENCHMARK 	8000 	SEAM SEALER 	PACKAGE SEALERS AND DELIDDERS
66 	1 	SHARP PRECISION 	SP112 	DELIDDER, MCM PACKAGE 	PACKAGE SEALERS AND 
DELIDDERS
67 	1 	SLEE SUPERIOR 	388 	WELDING POWER SUPPLY 	PACKAGE SEALERS AND 
DELIDDERS
68 	3 	SSEC 	188 	DASP PROGRAMMER FOR SSEC SEALING SYSTEM 	PACKAGE SEALERS 
AND DELIDDERS
69 	1 	SSEC 	SSPS 	SEAM SEALER POWER SUPPLY 	PACKAGE SEALERS AND DELIDDERS
70 	3 	SUPERIOR 	93 	MASTER CONTROL PANEL FOR SSEC SEALING SYSTEM 	PACKAGE 
SEALERS AND DELIDDERS
71 	1 	TM VACUUM 	527-A 	WELDING POWER SUPPLY 	PACKAGE SEALERS AND 
DELIDDERS
72 	1 	TRIO-TECH 	NMN 	Auto Clave 	PACKAGE SEALERS AND DELIDDERS
73 	1 	MICROMANIPULATOR 	A-486-1D 	GAS PRESSURISATION SYSTEM 	PACKAGE 
SEALERS AND DELIDDERS
74 	3 	MICROMANIPULATOR 	450 	XYZ PROBE, MICROPOSITIONER 	PROBE STATIONS, 
PROBES
75 	3 	RUCKER &amp; KOLLS 	550 	XYZ PROBE, MICROPOSITIONER 	PROBE STATIONS, 
PROBES
76 	2 	SIGNATONE 	RK322 	XYZ PROBE, MICROPOSITIONER 	PROBE STATIONS, PROBES
77 	1 	WENTWORTH 	  	HOT CHUCK, 4", CONTROLLER, DARK BOX 	PROBE STATIONS, 
PROBES
78 	1 	-------------- 	MP-1000 	PROBE STATION, B &amp; L OPTICS 	PROBE 
STATIONS, PROBES
79 	1 	WENTWORTH 	MP-1000 	AUTOMATIC PROBE STATION WITH PROBE CARD HOLDERS, 
6"
CHUCK, HEATED CHUCKS, LOTS OF SPARE PARTS, B &amp; L MICROZOOM OPTICS 10X 
EYEPIECES, 2.5X, 8X, 25X OBJECTIVES, OPTIONAL 50X OBJECTIVE, OPTIONAL 
CAMERA SYSTEM AND VIDEO MONITOR 	PROBE STATIONS, PROBES
80 	23 	WENTWORTH 	NHA770 	PROBE TIPS FOR PRO 191 	PROBE STATIONS, PROBES
81 	2 	WENTWORTH 	PRO195 	MAGNETIC BASE XYZ PROBES 	PROBE STATIONS, PROBES
82 	2 	WENTWORTH 	PRO191 	PROBES 	PROBE STATIONS, PROBES
83 	4 	WENTWORTH 	PV0196LH 	VACUUM BASE XYZ PROBE LEFT HAND 	PROBE 
STATIONS, PROBES
84 	3 	WENTWORTH 	PV0196RH 	VACUUM BASE XYZ PROBE RIGHT HAND 	PROBE 
STATIONS, PROBES
85 	2 	GERLING LABS 	GL 107/GL113 	GENERATORS, POWER, 2.56MHz, 3.3KW WATER 
COOLED WITH
ISOLATORS, CIRCULATORS ETC FOR MICROWAVE HEATING, PLASMA APPLICATIONS, 
MANUALS AND SET-UP AND CONSULTING INCLUDED 	RF-MICROWAVE
86 	1 	HP 	435B 	POWER METER WITH HP8481A DETECTOR 	RF-MICROWAVE
87 	1 	HP 	593078 	VHF SWITCH, HP-IB WITH 19" FRONT PANEL MOUNT 	
RF-MICROWAVE
88 	1 	HP 	536A 	FREQUENCY METER 	RF-MICROWAVE
89 	1 	HP 	8481A 	POWER SENSOR (SOLD WITH HP435A POWER METER) 	
RF-MICROWAVE
90 	1 	HP 	8616A 	SIGNAL GENERATOR 1.8 TO 4.5 GHZ 	RF-MICROWAVE
91 	1 	NARDA 	3000-10 	10DB COUPLER 	RF-MICROWAVE
92 	1 	PRD ELECTRONICS 	S4420-20 	20DB COUPLER 	RF-MICROWAVE
93 	1 	DEHAART 	AOL-12-SC 	SEMI AUTOMATIC SCREEN PRINTER, 6"X6" SUBSTRATES,
MANUALS 	SCREEN PRINTERS
94 	1 	FORSLUND 	77 	SEMI AUTOMATIC SCREEN PRINTER 	SCREEN PRINTERS
95 	1 	AUSTIN AMERICA
TECH. 	ARS 218 	DRYER/DEVELOPER 	SEMICONDUCTOR PROCESSING
96 	1 	INTERLAB 	NMN 	DI WATER HEATER 	SEMICONDUCTOR PROCESSING
97 	1 	SEC (RADIANT
ENERGY) 	MODEL 2800 (BS-102) 	SEMICONDUCTOR WAFER SCRIBER, 2" TO 3" WAFERS.
AUTOMATIC AND SEMIAUTOMATIC MODES, TIPS INCLUDED 	SEMICONDUCTOR PROCESSING
98 	1 	VERTEQ 	1600, SN 1654 	WAFER WASHER, DI WATER, DRYER, CONFIGURABLE 
FOR UP TO
6" WAFERS 	SEMICONDUCTOR PROCESSING
99 	80 	3M 	2XX-257-00-0605 	SOCKETS HYBRID BURN-IN 	SOCKETS. BURN-IN TEST
100 	100 	3M/TEXTOOL 	80-6101-0460-8 	SOCKETS HYBRID BURN-IN 	SOCKETS. 
BURN-IN TEST
101 	100 	3M/TEXTOOL 	236-2681-00-0602 	SOCKETS HYBRID BURN-IN, HYBRIDS OR 
MCM 	SOCKETS. BURN-IN TEST
102 	200 	3M/TEXTOOL 	582-4376 	HYBRID CARRIER FOR BURN IN SOCKET 	
SOCKETS. BURN-IN TEST
103 	20 	AMP 	55219-1 	CHIP CARRIER SOCKET, 100 POSITION 	SOCKETS. BURN-IN 
TEST
104 	500 	WELLS ELECTRONICS 	621-0140845 	BURN-IN OR TEST SOCKET, FLATBACK 	
SOCKETS. BURN-IN TEST
105 	200 	WELLS ELECTRONICS 	628-0280845 	BURN-IN OR TEST SOCKET, 28 PIN 
FLATBACK 	SOCKETS. BURN-IN TEST
106 	108 	AKROMILLS 	NMN 	TOTE BOXES, PLASTIC, STACKABLE, 6"X8"4" 	STORAGE
107 	43 	AKROMILLS 	NMN 	TOTE BOXES, PLASTIC, STACKABLE, 9"X12"8" 	STORAGE
108 	2 	AMCO 	NMN 	19" EQUIPMENT CABINETS, 24" DEEP, 80" HIGH, WITH OR
WITHOUT CASTORS 	TEST EQUIPMENT
109 	1 	AMPHENOL-BORK 	FXR 	TEST OSCILLATOR 3.95-8.2 GHZ 	TEST EQUIPMENT
110 	1 	ASTROMED 	DASH 4 	RECORDER, NEW 4 CHANNEL PORTABLE, PAPER, MANUALS,
LEADS 	TEST EQUIPMENT
111 	1 	B&amp;K 	3300 	PULSE GENERATOR 	TEST EQUIPMENT
112 	1 	BERTAN 	210-10N 	POWER SUPPLY, 0 TO 10KV, 0-20MA 	TEST EQUIPMENT
113 	1 	BUD 	  	BLOWER 19" RACKMOUNT 3.5" HIGH 	TEST EQUIPMENT
114 	1 	DORIC 	DS-350-T3-M-T202 	THERMOMETER 	TEST EQUIPMENT
115 	8 	ELECTRONIC MEAS 	EM 600-16-2-D 	POWER SUPPLY, 0 TO 600 VDC, 0 TO 16 
ADC 	TEST EQUIPMENT
116 	1 	EMCOR 	NMN 	19" EQUIPMENT CABINETS, 24" DEEP, 30" HIGH, WITH OR
WITHOUT CASTORS NEW 	TEST EQUIPMENT
117 	1 	GENERAL RADIO 	621 	DECADE RESISTANCE BOX 	TEST EQUIPMENT
118 	1 	GENERAL RADIO 	1454A 	DECADE VOLTAGE DIVIDER 	TEST EQUIPMENT
119 	1 	HP 	3490 	MULTIMETER 	TEST EQUIPMENT
120 	1 	HP 	214B 	PULSE GENERATOR 	TEST EQUIPMENT
121 	1 	HP 	3403A 	TRUE RMS VOLTMETER 	TEST EQUIPMENT
122 	1 	HP 	6268B 	POWER SUPPLY, 0 TO 40 V, 0 TO 30 A 	TEST EQUIPMENT
123 	1 	KIKUSUI 	PLZ50-15A 	ELECTRONIC LOAD, 50V, 15A 	TEST EQUIPMENT
124 	1 	KIKUSUI 	PLZ50-50A 	ELECTRONIC LOAD, 50V, 50A 	TEST EQUIPMENT
125 	1 	LAMBDA 	LMF-12V 	POWER SUPPLY 12V, 33A@40 DEG C 	TEST EQUIPMENT
126 	1 	LAMBDA 	LT 824-42168-1 	POWER SUPPLY, 0 TO 60 VDC, 0 TO 50 ADC 	
TEST EQUIPMENT
127 	10 	LAMBDA 	NMN 	19" RACK MOUNT TRAYS FOR MODULAR POWER SUPPLIES 	
TEST EQUIPMENT
128 	1 	LAMBDA 	LMF 12-OV-Y 	POWER SUPPLY 12V, 33A@40 DEG C, 17A@71 DEG C 	
TEST EQUIPMENT
129 	1 	LAMBDA 	LXS-EE-5-OV, LXD-D-
152 	POWER SUPPLY, TRIPLE, 5V@45A, +/- 12-15V ADJ@6.2A &lt;mailto:ADJ@6.2A&gt; 	
TEST EQUIPMENT
130 	5 	MCLEAN ENGG 	NMN 	BLOWER, 19" RACKMOUNT 3.5" HIGH 	TEST EQUIPMENT
131 	9 	MCLEAN ENGG 	NMN 	BLOWER, 19" RACKMOUNT 7.75" HIGH 	TEST EQUIPMENT
132 	1 	PACIFIC POWER
SOURCE CORP 	NMN 	AC POWER SOURCE, 3 PHASE 1300VA/PHASE, 40-400HZ OUTPUT,
CABINET WITH CASTORS 	TEST EQUIPMENT
133 	1 	SORENSEN 	DCR 150-70 	POWER SUPPLY 0 TO 150 VDC, 0 TO70 ADC 	TEST 
EQUIPMENT
134 	1 	SPELLMAN 	NMN 	HIGH VOLTAGE POWER SUPPLY 0-5KV, 0-10MA 	TEST 
EQUIPMENT
135 	1 	SYSTRON DONNER 	PQ50-1 	POWER SUPPLY, 50V, 1A 	TEST EQUIPMENT
136 	1 	TEKTRONIX 	2465 	OSCILLOSCOPE 	TEST EQUIPMENT
137 	2 	TEKTRONIX 	7613 	OSCILLOSCOPE MAINFRAME 	TEST EQUIPMENT
138 	1 	TEKTRONIX 	7854 	OSCILLOSCOPE MAINFRAME W/KEYBOARD 	TEST EQUIPMENT
139 	1 	TEKTRONIX 	7904 	OSCILLOSCOPE MAINFRAME 	TEST EQUIPMENT
140 	1 	TEKTRONIX 	465B 	OSCILLOSCOPE, PROBES AND MANUAL 	TEST EQUIPMENT
141 	3 	TEKTRONIX 	7A13 	OSCILLOSCOPE PLUG-IN 	TEST EQUIPMENT
142 	2 	TEKTRONIX 	7A22 	OSCILLOSCOPE PLUG-IN 	TEST EQUIPMENT
143 	2 	TEKTRONIX 	7A22 	OSCILLOSCOPE PLUG-IN 	TEST EQUIPMENT
144 	3 	TEKTRONIX 	7A24 	OSCILLOSCOPE PLUG-IN 	TEST EQUIPMENT
145 	2 	TEKTRONIX 	7A26 	OSCILLOSCOPE PLUG-IN 	TEST EQUIPMENT
146 	2 	TEKTRONIX 	7B87 	OSCILLOSCOPE PLUG-IN 	TEST EQUIPMENT
147 	2 	TEKTRONIX 	7B92A 	OSCILLOSCOPE PLUG-IN 	TEST EQUIPMENT
148 	1 	TEKTRONIX 	C5 	OSCILLOSCOPE CAMERA 	TEST EQUIPMENT
149 	2 	TEKTRONIX 	C50 	OSCILLOSCOPE CAMERA 	TEST EQUIPMENT
150 	2 	TEKTRONIX 	C53 	OSCILLOSCOPE CAMERA 	TEST EQUIPMENT
151 	1 	TEKTRONIX 	R7623 	OSCILLOSCOPE MAINFRAME 	TEST EQUIPMENT
152 	2 	TOPAZ 	53406-00P3 	POWER &amp; LINE CONDITIONER, 3KVA, 120 VRMS, +15% 
TO -25%
IN, 120 VRMS, +4% TO -8% OUT, INPUT CURRENT 35ARMS MAX, 60HZ 	TEST 
EQUIPMENT
153 	1 	TURNER DESIGNS 	30-000 	EPROM ERASER 	TEST EQUIPMENT
154 	1 	WAVETEK 	142 	SIGNAL GENERATOR 	TEST EQUIPMENT
155 	1 	WAVETEK 	185 	SWEEP GENERATOR 	TEST EQUIPMENT
156 	2 	BLUE M 	OV-12A 	STAINLESS STEEL LAB OVEN, TABLE TOP, 2 CU FT 
CHAMBER,
SHELF 	THERMAL CHAMBERS, OVENS
157 	2 	BLUE M 	0V-8A 	STAINLESS STEEL LAB OVEN, TABLE TOP, 1 CU FT 
CHAMBER,
SHELF 	THERMAL CHAMBERS, OVENS
158 	1 	DELTA DESIGN 	3900 	TEMPERATURE CHAMBER 	THERMAL CHAMBERS, OVENS
159 	2 	NATIONAL 	  	VACUUM OVEN, 12"X12"X12' CHAMBER 	THERMAL CHAMBERS, 
OVENS
160 	1 	RANSCO 	925-1-2-D-0-120/60 	TEMPERATURE CHAMBER 	THERMAL CHAMBERS, 
OVENS
161 	1 	COMCO 	NMN 	ABRASIVE TRIMMER, DUAL TANKS, TWO NOZZLES, SPARES,
MANUAL 	TRIMMER, ABRASIVE
162 	1 	KORAD 	NMN 	LASER POWER SUPPLY 	TRIMMER, LASER
163 	1 	KORAD 	NMN 	LASER TRIMMER FOR TRIMMING THICK FILM OR THIN FILM
RESISTORS ON SUBSTRATES 	TRIMMER, LASER
164 	4 	P/M INDS. 	NMN 	LASER POWER SUPPLY 	TRIMMER, LASER
165 	2 	P/M INDS. 	NMN 	LASER TRIMMER FOR TRIMMING THICK FILM OR THIN FILM
RESISTORS ON SUBSTRATES, SPARE LASER HEADS AND POWER SUPPLIES 	TRIMMER, 
LASER
166 	1 	CREST INDS. 	CDU-1812-R 	ULTRASONIC CLEANER AND VAPOR DEGREASER, 
STAINLESS STEEL CLEAN ROOM STYLE, SELF CONTAINED WITH GENERATORS, 
REFRIGERATION, ETC 36"X12"X30" DEEP CHAMBER 	ULTRASONIC CLEANERS
167 	6 	DAGE 	MF22A 	PULL TESTER MICROSCOPE, 50, 100, 200 GRAM STRAIN GAGE,
MANUAL, JOB HOLDERS 	WIREBONDERS, GAP WELDERS
168 	1 	EMB-SOLA 	1100 	WIRE BONDER, 0.7 TO 3 MIL ALUMINUM WIRE, POWER 
SUPPLY, AO OPTICS, WORK HOLDER, BONDING TIP, MANUAL Z 	WIREBONDERS, GAP 
WELDERS
169 	1 	EMB-SOLA 	1400 	WIRE BONDER, 0.7 TO 3 MIL ALUMINUM WIRE, POWER 
SUPPLY, HEATED WORK HOLDER, BONDING TIP AND MANUAL Z 	WIREBONDERS, GAP 
WELDERS
170 	1 	EMB-SOLA 	1400 	WIRE BONDER, 0.7 TO 3 MIL ALUMINUM WIRE, AO OPTICS, 
POWER SUPPLY, WORK HOLDER, BONDING TIP AND MANUAL Z 	WIREBONDERS, GAP 
WELDERS
171 	1 	HUGHES 	HRW-100B 	WELDING POWER SUPPLY 	WIREBONDERS, GAP WELDERS
172 	5 	HUGHES 	HTT 650 	REFLOW SOLDER POWER SUPPLY 	WIREBONDERS, GAP 
WELDERS
173 	1 	HUGHES 	MA-09-40 	AIR DRIVE HEAD CONTROL 	WIREBONDERS, GAP WELDERS
174 	1 	HUGHES 	MCW550 	WELDING SUPPLY 	WIREBONDERS, GAP WELDERS
175 	25 	HUGHES 	MLS-900-F-125W 	RESISTANCE SOLDERING TIPS 	WIREBONDERS, 
GAP WELDERS
176 	4 	HUGHES 	NMN 	PARALLEL JAW ASSYS 	WIREBONDERS, GAP WELDERS
177 	1 	HUGHES 	VTA 60 	GAP WELDER WITH BASE, B &amp; L OPTICS, FOOT SWITCH 	
WIREBONDERS, GAP WELDERS
178 	1 	HUGHES 	VTA 92 	GAP WELDER WITH BASE, B &amp; L OPTICS, FOOT SWITCH 	
WIREBONDERS, GAP WELDERS
179 	6 	HUGHES 	VTA 66 	PNEUMATICALLY DRIVEN WELD HEAD FOR RESISTIVE 
SOLDERING
OR PARALLEL GAP WELDING 	WIREBONDERS, GAP WELDERS
180 	1 	HUGHES 	VTA 70 	PNEUMATICALLY DRIVEN WELD HEAD FOR RESISTIVE 
SOLDERING
OR PARALLEL GAP WELDING 	WIREBONDERS, GAP WELDERS
181 	1 	K &amp; S 	484 	WIRE BONDER, 1-3 MIL ALUMINUM WIRE, ULTRASONIC POWER
SUPPLY, MICROMETER ADJUST WORK HOLDER 	WIREBONDERS, GAP WELDERS
182 	1 	K &amp; S 	2402 	WIRE BONDER, GOLD BALL BONDER, 0.7 TO 2 MIL GOLD WIRE, 
B
&amp; L OPTICS, HEATED WORK HOLDER 	WIREBONDERS, GAP WELDERS
183 	2 	MECHEL 	702 	EUTECTIC DIE ATTACH MACHINES, FOR PARTS 	WIREBONDERS, 
GAP WELDERS
184 	1 	MECHEL 	829 	WIRE BONDER, GOLD BALL BONDER, 0.7 TO 2.5 MIL GOLD 
WIRE, UTHE POWER SUPPLY, AO OPTICS, HEATED WORK HOLDER 	WIREBONDERS, GAP 
WELDERS
185 	1 	MECHEL 	909 	WIRE BONDER, 0.7 TO 3 MIL ALUMINUM WIRE, POWER SUPPLY,
WORK HOLDER, B &amp; L OPTICS 	WIREBONDERS, GAP WELDERS
186 	3 	ORTHODYNE 	20B 	WIRE BONDER, 3 TO 35 MIL ALUMINUM WIRE, UINDEXER 
FOR
MULTIPLE UNIT BONDING, POWER SUPPLY, WORK HOLDER, B &amp; L OPTICS 	
WIREBONDERS, GAP WELDERS
187 	CALL 	ORTHODYNE 	360 A, B, C 	AUTOMATIC HEAVY WIRE BONDER 	
WIREBONDERS, GAP WELDERS
188 	2 	UNITEK 	127 	PARALLEL GAP WELDER WITH FOOTSWITCH 	WIREBONDERS, GAP 
WELDERS
189 	1 	UNITEK 	1-124-05 	UNIBOND POWER SUPPLY 	WIREBONDERS, GAP WELDERS
190 	1 	UNITEK 	1-200-01 	POWER SUPPLY, CATALOG #PMI-3 	WIREBONDERS, GAP 
WELDERS
191 	1 	UNITEK 	1-220-01 	POWER SUPPLY, CATALOG #PMI-70 	WIREBONDERS, GAP 
WELDERS
192 	1 	UNITEK 	7-018-02 	FOOTSWITCH 	WIREBONDERS, GAP WELDERS
193 	1 	UNITEK 	9-001-01 	WELDING TRANSFORMER 	WIREBONDERS, GAP WELDERS
194 	1 	UNITEK 	MICROPULL 4 	WIRE BOND PULL TESTER WITH KEYBOARD AND 
PRINTER 	WIREBONDERS, GAP WELDERS
195 	2 	UNITEK 	MICROPULL 3 	WIRE BOND PULL TESTER 	WIREBONDERS, GAP 
WELDERS
196 	4 	UNITEK 	10-105-104 	WELDING POWER SUPPLY 	WIREBONDERS, GAP WELDERS
197 	6 	WESTBOND 	5400B, 5600B 	SEMI AUTOMATIC ULTRASONIC AL/AU WEDGE/BALL 
BONDER, MONITOR, WORK HOLDER, HEATED WORK HOLDER FOR THERMALSONIC BONDING, 
MOTORIZED Z, MICROSCOPE 	WIREBONDERS, GAP WELDERS
198 	3 	WESTBOND 	70 PT-M 	PULL TESTER MICROSCOPE, MOTORIZED STAGE 	
WIREBONDERS, GAP WELDERS
199 	2 	WESTBOND 	7400A 	THERMASONIC WIRE BONDER, 0.7 TO 3 MIL AU, SCOPE, 
HEATED
CHUCK, POWER SUPPLY, MICROSCOPE 	WIREBONDERS, GAP WELDERS
200 	2 	WESTBOND 	7700A, 7700B 	BALL WIRE BONDER, 0.7 TO 3 MIL AU, SCOPE, 
HEATED CHUCK,
POWER SUPPLY, MICROSCOPE 	WIREBONDERS, GAP WELDERS
201 	1 	MARCH
INSTRUMENTS 	PLASMOD 	BARREL ETCHER PLUS CONTROLLER 	WIREBONDERS, GAP 
WELDERS
201 	1 	MARCH
INSTRUMENTS 	PLASMOD 	CONTROLLER 	 
202 	1 	K &amp; S 	1471 	AUTOMATIC BONDER, AU WIRE WITH CASSETTE FEED MANUALS,
SPARES ETC - TERRIFIC BUY-FULLY OPERATIONAL IDEAL FOR LARGE VOLUME IC 
MANUFACTURING 	WIREBONDERS, GAP WELDERS
 </t>
  </si>
  <si>
    <t xml:space="preserve">87513</t>
  </si>
  <si>
    <t xml:space="preserve">Contamination Control</t>
  </si>
  <si>
    <t xml:space="preserve">Desiccator boxes, 10ea Available</t>
  </si>
  <si>
    <t xml:space="preserve">Facilities</t>
  </si>
  <si>
    <t xml:space="preserve">Chamber Size  	
  Width  	21.50  in  (54.61 cm)
  Depth  	13.38  in  (33.97 cm)
  Height  	13.50  in  (34.29 cm)
Exterior Dimensions  	 
  Width  	22.000  in  (55.9 cm)
  Depth  	14.000  in  (35.6 cm)
  Height  	14.000  in  (35.6 cm)
 </t>
  </si>
  <si>
    <t xml:space="preserve">99395</t>
  </si>
  <si>
    <t xml:space="preserve">Convac</t>
  </si>
  <si>
    <t xml:space="preserve">CBA-M-2000-U</t>
  </si>
  <si>
    <t xml:space="preserve">Photoresist coater</t>
  </si>
  <si>
    <t xml:space="preserve">In working condition. Currently de-installed and warehoused. Inspection is 
available by appointment.
Please check pictures below for more information.</t>
  </si>
  <si>
    <t xml:space="preserve">101691</t>
  </si>
  <si>
    <t xml:space="preserve">CPA</t>
  </si>
  <si>
    <t xml:space="preserve">PE 4400</t>
  </si>
  <si>
    <t xml:space="preserve">Sputtering Tool (Inline System)</t>
  </si>
  <si>
    <t xml:space="preserve">-Can do 3 targets and has a movable table to give different throws for 
sputtering
-Auto pumping
-Manual deposition</t>
  </si>
  <si>
    <t xml:space="preserve">61184</t>
  </si>
  <si>
    <t xml:space="preserve">CR TECHNOLOGY</t>
  </si>
  <si>
    <t xml:space="preserve">UF160-0</t>
  </si>
  <si>
    <t xml:space="preserve">Xray System</t>
  </si>
  <si>
    <t xml:space="preserve">92460</t>
  </si>
  <si>
    <t xml:space="preserve">Credence</t>
  </si>
  <si>
    <t xml:space="preserve">ASL 1000</t>
  </si>
  <si>
    <t xml:space="preserve">56897</t>
  </si>
  <si>
    <t xml:space="preserve">ASL 1000 configuration:
OVI-30 (671-7811)
DDD8 (671-7620) : Shortage: NOT INCLUDED
TMU (671-5333)
OFS (671-5337); Shortage: NOT INCLUDED
DVI-300 (671-4678)
DVI-2000 (671-4676)
Processor: P-III or INTEL CELERON 566 Installed Vate Version: system os 
5.2.4 SP1 &amp; 5.3.0 SP1 OS version: Windows NT.
We can provide the above combination with White case.
( Above boards, white case, working  can be inspected )</t>
  </si>
  <si>
    <t xml:space="preserve">101678</t>
  </si>
  <si>
    <t xml:space="preserve">CSE</t>
  </si>
  <si>
    <t xml:space="preserve">X-300</t>
  </si>
  <si>
    <t xml:space="preserve">Semi-Auto Prober</t>
  </si>
  <si>
    <t xml:space="preserve">102870</t>
  </si>
  <si>
    <t xml:space="preserve">CTI</t>
  </si>
  <si>
    <t xml:space="preserve">8510, 8500</t>
  </si>
  <si>
    <t xml:space="preserve">Cryo Compressor</t>
  </si>
  <si>
    <t xml:space="preserve">102869</t>
  </si>
  <si>
    <t xml:space="preserve">9600</t>
  </si>
  <si>
    <t xml:space="preserve">Cryo Compressor, S/N E08754276, Elapsed Time Meter 3,371.1H, Cryo 
Compressor, S/N D06456510, Elapsed Time Meter 23,877.9H, Cryo Compressor, 
S/N J02119034, Elapsed Time Meter 50,028.4H, Cryo Compressor, S/N 
K02119255, Elapsed Time Meter 50,030.8H, Gas He Charge Pressure at On/Off 
Condition is all within Specification</t>
  </si>
  <si>
    <t xml:space="preserve">103028</t>
  </si>
  <si>
    <t xml:space="preserve">CTI Cryogenics</t>
  </si>
  <si>
    <t xml:space="preserve">9600 Compressor</t>
  </si>
  <si>
    <t xml:space="preserve">Compressor for use in Systems requiring vacuum </t>
  </si>
  <si>
    <t xml:space="preserve">It is designed expressly for long usable life, high reliability, and ease 
of use, this compressor provides outstanding performance with all Cryo-Torr 
Cryopumps, On-Board Cryopumps, On-Board Waterpumps, and On-Board TurboPlus 
Vacuum Pumps.The 9600 supports both single- and grouped-pump configurations 
and it is compatible with CTI-Cryogenics pumping installations worldwide. 
460V, 3Ph, 50/60Hz</t>
  </si>
  <si>
    <t xml:space="preserve">103029</t>
  </si>
  <si>
    <t xml:space="preserve">CRYO TORR 10</t>
  </si>
  <si>
    <t xml:space="preserve">REBUILT CRYO VACUUM PUMP</t>
  </si>
  <si>
    <t xml:space="preserve">ASA INLET FLANGE. REBUILT AND READY TO USE.</t>
  </si>
  <si>
    <t xml:space="preserve">102999</t>
  </si>
  <si>
    <t xml:space="preserve">CVC</t>
  </si>
  <si>
    <t xml:space="preserve">611</t>
  </si>
  <si>
    <t xml:space="preserve">Load Lock Batch Type Production Sputtering System</t>
  </si>
  <si>
    <t xml:space="preserve">-DC Cathodes, 8" in diameter -Ion Source, 8" in diameter -Process gas 
inputs, expandable to four -Load lock with elevator</t>
  </si>
  <si>
    <t xml:space="preserve">102172</t>
  </si>
  <si>
    <t xml:space="preserve">Cymer</t>
  </si>
  <si>
    <t xml:space="preserve">EX-5700</t>
  </si>
  <si>
    <t xml:space="preserve">Excimer Laser, 248 nm</t>
  </si>
  <si>
    <t xml:space="preserve">102173</t>
  </si>
  <si>
    <t xml:space="preserve">98215</t>
  </si>
  <si>
    <t xml:space="preserve">XLA 165</t>
  </si>
  <si>
    <t xml:space="preserve">193 NM excimer laser</t>
  </si>
  <si>
    <t xml:space="preserve">Deinstalled, warehoused. Can be inspected by appointment.
See attached 2 photos of the laser before removal.
Also attached is some performance data taken from the laser when last used.
DUV Lightsource power level is 45 W. Laser Operation Frequency: 4000 Hz</t>
  </si>
  <si>
    <t xml:space="preserve">102467</t>
  </si>
  <si>
    <t xml:space="preserve">CYMER</t>
  </si>
  <si>
    <t xml:space="preserve">XLA-360</t>
  </si>
  <si>
    <t xml:space="preserve">Excimer Laser</t>
  </si>
  <si>
    <t xml:space="preserve">Configurations available upon request.
Please check pictures below for more information.</t>
  </si>
  <si>
    <t xml:space="preserve">99410</t>
  </si>
  <si>
    <t xml:space="preserve">Dage</t>
  </si>
  <si>
    <t xml:space="preserve">2400PC</t>
  </si>
  <si>
    <t xml:space="preserve">Wire Pull Tester with die shear load cell</t>
  </si>
  <si>
    <t xml:space="preserve">    * PC Controlled System
    * includes 2400PC-DS50KG Die Shear Load Cell
    * With Leica StereoZoom Microscope
    * AP011A Die Shear Workholder Vacuum Plate</t>
  </si>
  <si>
    <t xml:space="preserve">102487</t>
  </si>
  <si>
    <t xml:space="preserve">DAGE</t>
  </si>
  <si>
    <t xml:space="preserve">4000 Plus</t>
  </si>
  <si>
    <t xml:space="preserve">Multifunction Bondtester</t>
  </si>
  <si>
    <t xml:space="preserve">Please check pictures below for more informtions.</t>
  </si>
  <si>
    <t xml:space="preserve">99411</t>
  </si>
  <si>
    <t xml:space="preserve">BT23</t>
  </si>
  <si>
    <t xml:space="preserve">Die Shear Tester</t>
  </si>
  <si>
    <t xml:space="preserve">    * Shear Tester for Ball Bonds and Tab Bump
    * LC200 Load Cell: 200g Ball Shear
    * BAUSCH &amp; LOMB StereoZoom 4 Microscope
    * Destruct/Non-Destruct Testing
    * 2.0mm (0.08in) X-Axis Travel
    * 0.15mm (0.006in) tip width – Shear Tool Size
    * 3 to 7g (0.107 to 0.25ozf) Tool Landing Force
    * 0.5mm (0.02in) full scale – Load Beam Deflection
    * X-Axis – left to right, Shear Test Direction
    * 110V, 50/60Hz, 20 (in.) Hg Min. Vacuum</t>
  </si>
  <si>
    <t xml:space="preserve">99412</t>
  </si>
  <si>
    <t xml:space="preserve">MCT 22</t>
  </si>
  <si>
    <t xml:space="preserve">Wire Bond Pull Tester</t>
  </si>
  <si>
    <t xml:space="preserve">Oblique Illumination - Internal Printer and Display -  RS232 Communications 
Port</t>
  </si>
  <si>
    <t xml:space="preserve">101695</t>
  </si>
  <si>
    <t xml:space="preserve">MF-22U</t>
  </si>
  <si>
    <t xml:space="preserve">Microtester</t>
  </si>
  <si>
    <t xml:space="preserve">Reads BT-22 on Startup Screen
20gm Pull Test cartridge
5kg Shear Test cartridge
LFG .003 inch diameter hooks
3 parts holders
2-15x Bausch &amp; Lomb eyepieces
2-20x Bausch &amp; Lomb eyepieces</t>
  </si>
  <si>
    <t xml:space="preserve">87489</t>
  </si>
  <si>
    <t xml:space="preserve">DAGE </t>
  </si>
  <si>
    <t xml:space="preserve">Wire pull tester</t>
  </si>
  <si>
    <t xml:space="preserve">87488</t>
  </si>
  <si>
    <t xml:space="preserve">BT23-PC</t>
  </si>
  <si>
    <t xml:space="preserve">Die Shear Tester with LC200 Die Shear Load Cell</t>
  </si>
  <si>
    <t xml:space="preserve">    * Shear Tester for Ball Bonds and Tab Bump with integrated PC
      controller.
    * LC200 Load Cell
    * Destruct/Non-Destruct Testing
    * 2.0mm (0.08in) X-Axis Travel
    * 0.15mm (0.006in) tip width – Shear Tool Size
    * 3 to 7g (0.107 to 0.25ozf) Tool Landing Force
    * 0.5mm (0.02in) full scale – Load Beam Deflection
    * X-Axis – left to right, Shear Test Direction
    * MANUAL INCLUDED</t>
  </si>
  <si>
    <t xml:space="preserve">91827</t>
  </si>
  <si>
    <t xml:space="preserve">BT23PC</t>
  </si>
  <si>
    <t xml:space="preserve">Die Shear Tester with LC200 Die Shear Load Cell, 2ea Available</t>
  </si>
  <si>
    <t xml:space="preserve">DAGE Microtester Specifications
• Serial Number 
• PC Controlled Operation
• Destructive and Non-Destructive Testing 
• BS23-LC200 200 gram Die Shear Load Cell 
• Load Cell Calibration Kit
• BT23-WH232 Vacuum Base Workholder
• 6” (dia.) Vacuum Top Plate
• Micrometer Controlled XY Motion
• Manual Rotation Control
• BAUSCH &amp; LOMB StereoZoom 4 Microscope
• Required Facilities: 110VAC, 50/60Hz, 20 in. Hg Minimum Vacuum
Guaranteed fully functional</t>
  </si>
  <si>
    <t xml:space="preserve">91828</t>
  </si>
  <si>
    <t xml:space="preserve">BT24</t>
  </si>
  <si>
    <t xml:space="preserve">Ball/Bump Shear Tester</t>
  </si>
  <si>
    <t xml:space="preserve">    * 0-200gm LC200 Load Cartridge
    * BT24-APF6 Workholder
    * BAUSCH &amp; LOMB StereoZoom 7 Microscope w/0.5X Adapter
    * 0.01 mm/s – 0.625 mm/s Shear Speed
    * 6 sec/shear at 0.25 mm/s
    * 1.3 microns – 10.4 mm Stepback Height Range
    * Oblique Illumination
    * Stand Alone Control Console
    * Intelligent Z Tool Positioning
    * Automatic Calibration System
    * Less than 25 microns/0.001" Tool Deflection on all ranges
 </t>
  </si>
  <si>
    <t xml:space="preserve">88001</t>
  </si>
  <si>
    <t xml:space="preserve">DAIHEN</t>
  </si>
  <si>
    <t xml:space="preserve">AGA-50B2</t>
  </si>
  <si>
    <t xml:space="preserve">88002</t>
  </si>
  <si>
    <t xml:space="preserve">AMN-30F</t>
  </si>
  <si>
    <t xml:space="preserve">88003</t>
  </si>
  <si>
    <t xml:space="preserve">AMN-50B2</t>
  </si>
  <si>
    <t xml:space="preserve">88004</t>
  </si>
  <si>
    <t xml:space="preserve">AMN-50B2A</t>
  </si>
  <si>
    <t xml:space="preserve">88005</t>
  </si>
  <si>
    <t xml:space="preserve">AMN-50F</t>
  </si>
  <si>
    <t xml:space="preserve">88006</t>
  </si>
  <si>
    <t xml:space="preserve">88007</t>
  </si>
  <si>
    <t xml:space="preserve">ATM-30A</t>
  </si>
  <si>
    <t xml:space="preserve">88008</t>
  </si>
  <si>
    <t xml:space="preserve">ATP-15B</t>
  </si>
  <si>
    <t xml:space="preserve">88009</t>
  </si>
  <si>
    <t xml:space="preserve">ATP-30B</t>
  </si>
  <si>
    <t xml:space="preserve">101643</t>
  </si>
  <si>
    <t xml:space="preserve">Daihen</t>
  </si>
  <si>
    <t xml:space="preserve">FGA-30G</t>
  </si>
  <si>
    <t xml:space="preserve">3kW RF Generator</t>
  </si>
  <si>
    <t xml:space="preserve">88010</t>
  </si>
  <si>
    <t xml:space="preserve">FRM-30A</t>
  </si>
  <si>
    <t xml:space="preserve">88011</t>
  </si>
  <si>
    <t xml:space="preserve">FRM-30A2</t>
  </si>
  <si>
    <t xml:space="preserve">88012</t>
  </si>
  <si>
    <t xml:space="preserve">FTM-80A1</t>
  </si>
  <si>
    <t xml:space="preserve">19</t>
  </si>
  <si>
    <t xml:space="preserve">88013</t>
  </si>
  <si>
    <t xml:space="preserve">HFA-27B</t>
  </si>
  <si>
    <t xml:space="preserve">88014</t>
  </si>
  <si>
    <t xml:space="preserve">HGA-30B</t>
  </si>
  <si>
    <t xml:space="preserve">88015</t>
  </si>
  <si>
    <t xml:space="preserve">HRM-30B4</t>
  </si>
  <si>
    <t xml:space="preserve">88016</t>
  </si>
  <si>
    <t xml:space="preserve">MFG-20SA3</t>
  </si>
  <si>
    <t xml:space="preserve">88017</t>
  </si>
  <si>
    <t xml:space="preserve">NX-PLB-01</t>
  </si>
  <si>
    <t xml:space="preserve">88018</t>
  </si>
  <si>
    <t xml:space="preserve">RGA-10G</t>
  </si>
  <si>
    <t xml:space="preserve">88019</t>
  </si>
  <si>
    <t xml:space="preserve">RMN-50M</t>
  </si>
  <si>
    <t xml:space="preserve">101644</t>
  </si>
  <si>
    <t xml:space="preserve">RTGA-20B</t>
  </si>
  <si>
    <t xml:space="preserve">2kW RF Generator</t>
  </si>
  <si>
    <t xml:space="preserve">88020</t>
  </si>
  <si>
    <t xml:space="preserve">RTGA-30A1</t>
  </si>
  <si>
    <t xml:space="preserve">88021</t>
  </si>
  <si>
    <t xml:space="preserve">WGA-50E</t>
  </si>
  <si>
    <t xml:space="preserve">88022</t>
  </si>
  <si>
    <t xml:space="preserve">WGA-50E1</t>
  </si>
  <si>
    <t xml:space="preserve">88023</t>
  </si>
  <si>
    <t xml:space="preserve">WMN-50C6A</t>
  </si>
  <si>
    <t xml:space="preserve">88024</t>
  </si>
  <si>
    <t xml:space="preserve">WMN-50G</t>
  </si>
  <si>
    <t xml:space="preserve">101000</t>
  </si>
  <si>
    <t xml:space="preserve">Datacon</t>
  </si>
  <si>
    <t xml:space="preserve">2200 APM</t>
  </si>
  <si>
    <t xml:space="preserve">Flip Chip Bonder</t>
  </si>
  <si>
    <t xml:space="preserve">Dual Module with load and unload.
Please check pictures below for more information.</t>
  </si>
  <si>
    <t xml:space="preserve">100634</t>
  </si>
  <si>
    <t xml:space="preserve">2210PPS</t>
  </si>
  <si>
    <t xml:space="preserve">101830</t>
  </si>
  <si>
    <t xml:space="preserve">DEK</t>
  </si>
  <si>
    <t xml:space="preserve">Horizon 02i</t>
  </si>
  <si>
    <t xml:space="preserve">screen printer</t>
  </si>
  <si>
    <t xml:space="preserve">101831</t>
  </si>
  <si>
    <t xml:space="preserve">SCREEN PRINTER</t>
  </si>
  <si>
    <t xml:space="preserve">103152</t>
  </si>
  <si>
    <t xml:space="preserve">Dektak  </t>
  </si>
  <si>
    <t xml:space="preserve">3030</t>
  </si>
  <si>
    <t xml:space="preserve">Profiler</t>
  </si>
  <si>
    <t xml:space="preserve">powers up</t>
  </si>
  <si>
    <t xml:space="preserve">87490</t>
  </si>
  <si>
    <t xml:space="preserve">DELTRONIC</t>
  </si>
  <si>
    <t xml:space="preserve">DH14-RR</t>
  </si>
  <si>
    <t xml:space="preserve">Profile Projector with 20X Objective Lens</t>
  </si>
  <si>
    <t xml:space="preserve">101742</t>
  </si>
  <si>
    <t xml:space="preserve">Dias</t>
  </si>
  <si>
    <t xml:space="preserve">IS-5</t>
  </si>
  <si>
    <t xml:space="preserve">Low Power Microscope with leadframe indexing</t>
  </si>
  <si>
    <t xml:space="preserve">101743</t>
  </si>
  <si>
    <t xml:space="preserve">101744</t>
  </si>
  <si>
    <t xml:space="preserve">101745</t>
  </si>
  <si>
    <t xml:space="preserve">101746</t>
  </si>
  <si>
    <t xml:space="preserve">101747</t>
  </si>
  <si>
    <t xml:space="preserve">101748</t>
  </si>
  <si>
    <t xml:space="preserve">101749</t>
  </si>
  <si>
    <t xml:space="preserve">101750</t>
  </si>
  <si>
    <t xml:space="preserve">LD-838</t>
  </si>
  <si>
    <t xml:space="preserve">Solder Dispenser</t>
  </si>
  <si>
    <t xml:space="preserve">97851</t>
  </si>
  <si>
    <t xml:space="preserve">Digital Electronics</t>
  </si>
  <si>
    <t xml:space="preserve">DRP-9503DU</t>
  </si>
  <si>
    <t xml:space="preserve">100635</t>
  </si>
  <si>
    <t xml:space="preserve">Disco</t>
  </si>
  <si>
    <t xml:space="preserve">DAD2H6T</t>
  </si>
  <si>
    <t xml:space="preserve">Dicing Saw</t>
  </si>
  <si>
    <t xml:space="preserve">100637</t>
  </si>
  <si>
    <t xml:space="preserve">DAD6450</t>
  </si>
  <si>
    <t xml:space="preserve">Dicing Saw + Hanmi 3000</t>
  </si>
  <si>
    <t xml:space="preserve">75706</t>
  </si>
  <si>
    <t xml:space="preserve">DFD 640</t>
  </si>
  <si>
    <t xml:space="preserve">8 inch set up with NCS and BBD Vintages 1994, 95, 96</t>
  </si>
  <si>
    <t xml:space="preserve">100638</t>
  </si>
  <si>
    <t xml:space="preserve">DFD620</t>
  </si>
  <si>
    <t xml:space="preserve">100639</t>
  </si>
  <si>
    <t xml:space="preserve">DFD681</t>
  </si>
  <si>
    <t xml:space="preserve">102174</t>
  </si>
  <si>
    <t xml:space="preserve">DFG-821/F8</t>
  </si>
  <si>
    <t xml:space="preserve">Backside Grind</t>
  </si>
  <si>
    <t xml:space="preserve">100703</t>
  </si>
  <si>
    <t xml:space="preserve">DFL 7161</t>
  </si>
  <si>
    <t xml:space="preserve">Laser Saw</t>
  </si>
  <si>
    <t xml:space="preserve">150mm/300mm</t>
  </si>
  <si>
    <r>
      <rPr>
        <sz val="8"/>
        <rFont val="Arial"/>
        <family val="0"/>
        <charset val="1"/>
      </rPr>
      <t xml:space="preserve">For 6" to 12" Wafer
Both „Type-K“ with Optical System „BSS4“
Laser Head/Sources: Coherent
Model: AVIA (exactly type unknow)
Wave Length: 355 nm
Puls duration: appr. 30 ns
Original  performance: 29.16 W bei 110 kHz
Original performance on workpiece: 24.25 W
Please check pictures below for more info and pictures.
Machine Model 	DFL7161 	  	  	  	  	  	  	 
ABLATION PROCESS 	  	  	  	  	  	  	  	 
Max. Workpiece Size 	mm 	ø300 	  	 
X-axis 	Processing range 	mm 	310 	 
(Chuck table) 	Max. feed speed 	mm/s 	1000 	 
Y-axis 	  	Processing range 	mm 	310
(Chuck table) 	Index step 	mm 	0.0001 	 
Index positioning accuracy 	mm 	  	0.003 or less/310 (Single error) 0.002 
or less/5 	  	  	  	  	 
Scale resolution 	mm 	  	  	  	0.0001 	  	 
Z-axis 	Input range for lens height 	  	mm 	-2.000</t>
    </r>
    <r>
      <rPr>
        <sz val="8"/>
        <rFont val="Noto Sans CJK SC"/>
        <family val="2"/>
        <charset val="1"/>
      </rPr>
      <t xml:space="preserve">～</t>
    </r>
    <r>
      <rPr>
        <sz val="8"/>
        <rFont val="Arial"/>
        <family val="0"/>
        <charset val="1"/>
      </rPr>
      <t xml:space="preserve">5.000
Moving resolution 	mm 	5E-05 	  	  	  	  	 
Repeatability accuracy 	mm 	0.002 	  	  	  	  	 
θ-axis 	Max. rotating angle 	deg 	380
(Chuck table) 	  	(320º in the positive (+) direction and 60º in the 	  	 
negative (-) direction from the initial position) 	  	  	  	  	  	  	  	 
Laser Oscillator / Oscillator Model 	Semicondutor laser diode (LD) 	  	  	  	
  	excitation Q-switch solid laser 	  	  	  	  	 
Applicable Tape Frame 	  	2-12 	  	  	  	  	 
UtilitiesPower supply 	kW 	  	200 ~ 230 V AC±10 %, 3-phase 	  	 
  	For other than the above voltages, a transformer is necessary. 	  	  	  	
Power 	When processing 	kW 	1.2 (for reference) 	  	  	  	  	 
consumption 	During warm-up 	kW 	1.1 (for reference) 	  	  	  	  	 
Max. power 	kVA 	10.4 	  	  	  	  	 
Air pressure 	Mpa 	0.5</t>
    </r>
    <r>
      <rPr>
        <sz val="8"/>
        <rFont val="Noto Sans CJK SC"/>
        <family val="2"/>
        <charset val="1"/>
      </rPr>
      <t xml:space="preserve">～</t>
    </r>
    <r>
      <rPr>
        <sz val="8"/>
        <rFont val="Arial"/>
        <family val="0"/>
        <charset val="1"/>
      </rPr>
      <t xml:space="preserve">0.8 	  	  	  	  	 
Air max. consumption 	300 (for reference) 	  	  	  	  	  	 
Clean air pressure 	MPa 	0.5</t>
    </r>
    <r>
      <rPr>
        <sz val="8"/>
        <rFont val="Noto Sans CJK SC"/>
        <family val="2"/>
        <charset val="1"/>
      </rPr>
      <t xml:space="preserve">～</t>
    </r>
    <r>
      <rPr>
        <sz val="8"/>
        <rFont val="Arial"/>
        <family val="0"/>
        <charset val="1"/>
      </rPr>
      <t xml:space="preserve">0.8 	  	  	  	  	 
Clean air max. consumption 	100 (for reference) 	  	  	  	  	  	 
Water pressure (Spinner) 	MPa 	0.2</t>
    </r>
    <r>
      <rPr>
        <sz val="8"/>
        <rFont val="Noto Sans CJK SC"/>
        <family val="2"/>
        <charset val="1"/>
      </rPr>
      <t xml:space="preserve">～</t>
    </r>
    <r>
      <rPr>
        <sz val="8"/>
        <rFont val="Arial"/>
        <family val="0"/>
        <charset val="1"/>
      </rPr>
      <t xml:space="preserve">0.4 	  	  	  	  	 
Water max. flow rate (Spinner) 	L/min 	3.0 (for reference) 	  	  	  	  	 
Exhaust duct capacity 	m3/min 	5 	  	  	  	  	 
Machine dimensions (W x D x H) 	mm 	1,560×1,550×1,800 (for reference) 	  	  	
Machine weight 	kg 	Approx. 2,000 	  	  	  	  	  	 
 </t>
    </r>
  </si>
  <si>
    <t xml:space="preserve">102496</t>
  </si>
  <si>
    <t xml:space="preserve">DISCO</t>
  </si>
  <si>
    <t xml:space="preserve">DFL7160</t>
  </si>
  <si>
    <t xml:space="preserve">Laser grooving saw for silicon wafer</t>
  </si>
  <si>
    <t xml:space="preserve">90087</t>
  </si>
  <si>
    <t xml:space="preserve">WBL LASER SAW</t>
  </si>
  <si>
    <r>
      <rPr>
        <sz val="8"/>
        <rFont val="Arial"/>
        <family val="0"/>
        <charset val="1"/>
      </rPr>
      <t xml:space="preserve">This saw is DAF type.
The daf type is sawing using daf tape.
The daf tape has two layers of dicing tape, so when the dicing is done, 
there is a layer of adhesive tape on the chip.
In general tape, when the dicing is finished, the adhesive is not separated 
from the film, so only the chip is separated
The daf tape is used when the adhesive is separated from the film and 
attached directly to the stack (Stackchip).
Laser hour is good. Good state
Generic Equipment Specifications:-
Machine Models
DFL7160
ABLATION PROCESS
Max. Workpiece Size
mm
ø300
X-axis
Processing range
mm
310
(Chuck table)
Max. feed speed
mm/s
600
Y-axis
Processing range
mm
310
(Chuck table)
Index step
mm
0.0001
Index positioning accuracy
mm
0.003 or less/310 (Single error) 0.002 or less/5
Scale resolution
mm
0.0001
y-axis
Processing range
mm
-
(Z2axis
Index step
mm
-
process
Index positioning accuracy
mm
-
point)
Scale resolution
mm
-
Z-axis
Input range for lens height
mm
-2.000</t>
    </r>
    <r>
      <rPr>
        <sz val="8"/>
        <rFont val="Noto Sans CJK SC"/>
        <family val="2"/>
        <charset val="1"/>
      </rPr>
      <t xml:space="preserve">～</t>
    </r>
    <r>
      <rPr>
        <sz val="8"/>
        <rFont val="Arial"/>
        <family val="0"/>
        <charset val="1"/>
      </rPr>
      <t xml:space="preserve">5.000
Moving resolution
mm
0.00005
Repeatability accuracy
mm
0.002
θ-axis
Max. rotating angle
deg
380
(Chuck table)
(320º in the positive (+) direction and 60º in the
negative (-) direction from the initial position)
Laser Oscillator / Oscillator Model
Semicondutor laser diode (LD)
excitation Q-switch solid laser
Applicable Tape Frame
2-12
UtilitiesPower supply
kW
200 ~ 240 V AC±10 %, 3-phase
For other than the above voltages, a transformer is necessary.
Power
When processing
kW
1.2 (for reference)
consumption
During warm-up
kW
1.1 (for reference)
Max. power
kVA
6.9
Air pressure
Mpa
0.5</t>
    </r>
    <r>
      <rPr>
        <sz val="8"/>
        <rFont val="Noto Sans CJK SC"/>
        <family val="2"/>
        <charset val="1"/>
      </rPr>
      <t xml:space="preserve">～</t>
    </r>
    <r>
      <rPr>
        <sz val="8"/>
        <rFont val="Arial"/>
        <family val="0"/>
        <charset val="1"/>
      </rPr>
      <t xml:space="preserve">0.8
Air max. consumption
L/min</t>
    </r>
    <r>
      <rPr>
        <sz val="8"/>
        <rFont val="Noto Sans CJK SC"/>
        <family val="2"/>
        <charset val="1"/>
      </rPr>
      <t xml:space="preserve">（</t>
    </r>
    <r>
      <rPr>
        <sz val="8"/>
        <rFont val="Arial"/>
        <family val="0"/>
        <charset val="1"/>
      </rPr>
      <t xml:space="preserve">ANR</t>
    </r>
    <r>
      <rPr>
        <sz val="8"/>
        <rFont val="Noto Sans CJK SC"/>
        <family val="2"/>
        <charset val="1"/>
      </rPr>
      <t xml:space="preserve">）
</t>
    </r>
    <r>
      <rPr>
        <sz val="8"/>
        <rFont val="Arial"/>
        <family val="0"/>
        <charset val="1"/>
      </rPr>
      <t xml:space="preserve">275.0
Clean air pressure
MPa
0.5</t>
    </r>
    <r>
      <rPr>
        <sz val="8"/>
        <rFont val="Noto Sans CJK SC"/>
        <family val="2"/>
        <charset val="1"/>
      </rPr>
      <t xml:space="preserve">～</t>
    </r>
    <r>
      <rPr>
        <sz val="8"/>
        <rFont val="Arial"/>
        <family val="0"/>
        <charset val="1"/>
      </rPr>
      <t xml:space="preserve">0.8
Clean air max. consumption
L/min</t>
    </r>
    <r>
      <rPr>
        <sz val="8"/>
        <rFont val="Noto Sans CJK SC"/>
        <family val="2"/>
        <charset val="1"/>
      </rPr>
      <t xml:space="preserve">（</t>
    </r>
    <r>
      <rPr>
        <sz val="8"/>
        <rFont val="Arial"/>
        <family val="0"/>
        <charset val="1"/>
      </rPr>
      <t xml:space="preserve">ANR</t>
    </r>
    <r>
      <rPr>
        <sz val="8"/>
        <rFont val="Noto Sans CJK SC"/>
        <family val="2"/>
        <charset val="1"/>
      </rPr>
      <t xml:space="preserve">）
</t>
    </r>
    <r>
      <rPr>
        <sz val="8"/>
        <rFont val="Arial"/>
        <family val="0"/>
        <charset val="1"/>
      </rPr>
      <t xml:space="preserve">200
Water pressure (Spinner)
MPa
0.2</t>
    </r>
    <r>
      <rPr>
        <sz val="8"/>
        <rFont val="Noto Sans CJK SC"/>
        <family val="2"/>
        <charset val="1"/>
      </rPr>
      <t xml:space="preserve">～</t>
    </r>
    <r>
      <rPr>
        <sz val="8"/>
        <rFont val="Arial"/>
        <family val="0"/>
        <charset val="1"/>
      </rPr>
      <t xml:space="preserve">0.4
Water max. flow rate (Spinner)
L/min
1.0
Exhaust duct capacity
m3/min
5.0
Machine dimensions (W x D x H)
mm
1,200×1,550×1,800
  Machine weight
kg
Approx. 1,750 (without transformer for overseas use)
Approx. 1,870 (with transformer for overseas use)
Notes For the DFL7260, DAL7020 or DFL7360, the chiller unit should be 
installed outside of
the equipment.
 </t>
    </r>
  </si>
  <si>
    <t xml:space="preserve">90089</t>
  </si>
  <si>
    <t xml:space="preserve">WBL LASER SAW (DAF Type)</t>
  </si>
  <si>
    <r>
      <rPr>
        <sz val="8"/>
        <rFont val="Arial"/>
        <family val="0"/>
        <charset val="1"/>
      </rPr>
      <t xml:space="preserve">De-installed, warehoused.
Can be inspected by appointment.
See attached photos for details.
This saw is DAF type.
The daf type is sawing using daf tape.
The daf tape has two layers of dicing tape, so when the dicing is done, 
there is a layer of adhesive tape on the chip.
In general tape, when the dicing is finished, the adhesive is not separated 
from the film, so only the chip is separated
The daf tape is used when the adhesive is separated from the film and 
attached directly to the stack (Stackchip).
Laser hour is good. Good state
Generic Equipment Specifications:-
Machine Models
DFL7160
ABLATION PROCESS
Max. Workpiece Size
mm
ø300
X-axis
Processing range
mm
310
(Chuck table)
Max. feed speed
mm/s
600
Y-axis
Processing range
mm
310
(Chuck table)
Index step
mm
0.0001
Index positioning accuracy
mm
0.003 or less/310 (Single error) 0.002 or less/5
Scale resolution
mm
0.0001
y-axis
Processing range
mm
-
(Z2axis
Index step
mm
-
process
Index positioning accuracy
mm
-
point)
Scale resolution
mm
-
Z-axis
Input range for lens height
mm
-2.000</t>
    </r>
    <r>
      <rPr>
        <sz val="8"/>
        <rFont val="Noto Sans CJK SC"/>
        <family val="2"/>
        <charset val="1"/>
      </rPr>
      <t xml:space="preserve">～</t>
    </r>
    <r>
      <rPr>
        <sz val="8"/>
        <rFont val="Arial"/>
        <family val="0"/>
        <charset val="1"/>
      </rPr>
      <t xml:space="preserve">5.000
Moving resolution
mm
0.00005
Repeatability accuracy
mm
0.002
θ-axis
Max. rotating angle
deg
380
(Chuck table)
(320º in the positive (+) direction and 60º in the
negative (-) direction from the initial position)
Laser Oscillator / Oscillator Model
Semicondutor laser diode (LD)
excitation Q-switch solid laser
Applicable Tape Frame
2-12
UtilitiesPower supply
kW
200 ~ 240 V AC±10 %, 3-phase
For other than the above voltages, a transformer is necessary.
Power
When processing
kW
1.2 (for reference)
consumption
During warm-up
kW
1.1 (for reference)
Max. power
kVA
6.9
Air pressure
Mpa
0.5</t>
    </r>
    <r>
      <rPr>
        <sz val="8"/>
        <rFont val="Noto Sans CJK SC"/>
        <family val="2"/>
        <charset val="1"/>
      </rPr>
      <t xml:space="preserve">～</t>
    </r>
    <r>
      <rPr>
        <sz val="8"/>
        <rFont val="Arial"/>
        <family val="0"/>
        <charset val="1"/>
      </rPr>
      <t xml:space="preserve">0.8
Air max. consumption
L/min</t>
    </r>
    <r>
      <rPr>
        <sz val="8"/>
        <rFont val="Noto Sans CJK SC"/>
        <family val="2"/>
        <charset val="1"/>
      </rPr>
      <t xml:space="preserve">（</t>
    </r>
    <r>
      <rPr>
        <sz val="8"/>
        <rFont val="Arial"/>
        <family val="0"/>
        <charset val="1"/>
      </rPr>
      <t xml:space="preserve">ANR</t>
    </r>
    <r>
      <rPr>
        <sz val="8"/>
        <rFont val="Noto Sans CJK SC"/>
        <family val="2"/>
        <charset val="1"/>
      </rPr>
      <t xml:space="preserve">）
</t>
    </r>
    <r>
      <rPr>
        <sz val="8"/>
        <rFont val="Arial"/>
        <family val="0"/>
        <charset val="1"/>
      </rPr>
      <t xml:space="preserve">275.0
Clean air pressure
MPa
0.5</t>
    </r>
    <r>
      <rPr>
        <sz val="8"/>
        <rFont val="Noto Sans CJK SC"/>
        <family val="2"/>
        <charset val="1"/>
      </rPr>
      <t xml:space="preserve">～</t>
    </r>
    <r>
      <rPr>
        <sz val="8"/>
        <rFont val="Arial"/>
        <family val="0"/>
        <charset val="1"/>
      </rPr>
      <t xml:space="preserve">0.8
Clean air max. consumption
L/min</t>
    </r>
    <r>
      <rPr>
        <sz val="8"/>
        <rFont val="Noto Sans CJK SC"/>
        <family val="2"/>
        <charset val="1"/>
      </rPr>
      <t xml:space="preserve">（</t>
    </r>
    <r>
      <rPr>
        <sz val="8"/>
        <rFont val="Arial"/>
        <family val="0"/>
        <charset val="1"/>
      </rPr>
      <t xml:space="preserve">ANR</t>
    </r>
    <r>
      <rPr>
        <sz val="8"/>
        <rFont val="Noto Sans CJK SC"/>
        <family val="2"/>
        <charset val="1"/>
      </rPr>
      <t xml:space="preserve">）
</t>
    </r>
    <r>
      <rPr>
        <sz val="8"/>
        <rFont val="Arial"/>
        <family val="0"/>
        <charset val="1"/>
      </rPr>
      <t xml:space="preserve">200
Water pressure (Spinner)
MPa
0.2</t>
    </r>
    <r>
      <rPr>
        <sz val="8"/>
        <rFont val="Noto Sans CJK SC"/>
        <family val="2"/>
        <charset val="1"/>
      </rPr>
      <t xml:space="preserve">～</t>
    </r>
    <r>
      <rPr>
        <sz val="8"/>
        <rFont val="Arial"/>
        <family val="0"/>
        <charset val="1"/>
      </rPr>
      <t xml:space="preserve">0.4
Water max. flow rate (Spinner)
L/min
1.0
Exhaust duct capacity
m3/min
5.0
Machine dimensions (W x D x H)
mm
1,200×1,550×1,800
  Machine weight
kg
Approx. 1,750 (without transformer for overseas use)
Approx. 1,870 (with transformer for overseas use)
Notes For the DFL7260, DAL7020 or DFL7360, the chiller unit should be 
installed outside of
the equipment.
 </t>
    </r>
  </si>
  <si>
    <t xml:space="preserve">103138</t>
  </si>
  <si>
    <t xml:space="preserve">DGP8761HC</t>
  </si>
  <si>
    <t xml:space="preserve">Grinder, Polisher CMP</t>
  </si>
  <si>
    <t xml:space="preserve">Please check the attachments below for more information.</t>
  </si>
  <si>
    <t xml:space="preserve">102871</t>
  </si>
  <si>
    <t xml:space="preserve">DSC141</t>
  </si>
  <si>
    <t xml:space="preserve">After Sawing Cleaner - Spin/Rinse/Dryer</t>
  </si>
  <si>
    <t xml:space="preserve">Automatic Spin/Rinse/Drying System after Sawing</t>
  </si>
  <si>
    <t xml:space="preserve">102953</t>
  </si>
  <si>
    <t xml:space="preserve">EAD6750+ SEMHAWK HANDLER</t>
  </si>
  <si>
    <t xml:space="preserve">Package Saw</t>
  </si>
  <si>
    <t xml:space="preserve">102872</t>
  </si>
  <si>
    <t xml:space="preserve">Heavy Smoker</t>
  </si>
  <si>
    <t xml:space="preserve">Heavy Smoker for Disco Dicing Saw DFD6361</t>
  </si>
  <si>
    <t xml:space="preserve">102175</t>
  </si>
  <si>
    <t xml:space="preserve">MEGCON II PRCII-2000ACD-SS</t>
  </si>
  <si>
    <t xml:space="preserve">CO2 Bubbler</t>
  </si>
  <si>
    <t xml:space="preserve">101794</t>
  </si>
  <si>
    <t xml:space="preserve">Disco </t>
  </si>
  <si>
    <t xml:space="preserve">DFG8560</t>
  </si>
  <si>
    <t xml:space="preserve">Grinding machine</t>
  </si>
  <si>
    <t xml:space="preserve">64271</t>
  </si>
  <si>
    <t xml:space="preserve">DNS</t>
  </si>
  <si>
    <t xml:space="preserve">80A</t>
  </si>
  <si>
    <t xml:space="preserve">Lithography Coater and Developer</t>
  </si>
  <si>
    <t xml:space="preserve">1 coat 2 develop
this tool is a parts tool and sold "as is where is"</t>
  </si>
  <si>
    <t xml:space="preserve">94447</t>
  </si>
  <si>
    <t xml:space="preserve">DNS SS-3000-A</t>
  </si>
  <si>
    <t xml:space="preserve">Bevel Scrubber (4F)</t>
  </si>
  <si>
    <t xml:space="preserve">N/A</t>
  </si>
  <si>
    <t xml:space="preserve">94448</t>
  </si>
  <si>
    <t xml:space="preserve">94449</t>
  </si>
  <si>
    <t xml:space="preserve">Wafer Scrubber (4Front)</t>
  </si>
  <si>
    <t xml:space="preserve">94450</t>
  </si>
  <si>
    <t xml:space="preserve">DNS SS-3000-AR</t>
  </si>
  <si>
    <t xml:space="preserve">Bevel Scrubber (4B)</t>
  </si>
  <si>
    <t xml:space="preserve">93115</t>
  </si>
  <si>
    <t xml:space="preserve">Scrubber (4B)</t>
  </si>
  <si>
    <t xml:space="preserve">94451</t>
  </si>
  <si>
    <t xml:space="preserve">Wafer Scrubber (4Back)</t>
  </si>
  <si>
    <t xml:space="preserve">94452</t>
  </si>
  <si>
    <t xml:space="preserve">94453</t>
  </si>
  <si>
    <t xml:space="preserve">94454</t>
  </si>
  <si>
    <t xml:space="preserve">DNS SU-3000</t>
  </si>
  <si>
    <t xml:space="preserve">Cleaner (MP Type)(DHF)    (2LoadPort)</t>
  </si>
  <si>
    <t xml:space="preserve">94455</t>
  </si>
  <si>
    <t xml:space="preserve">Cleaner (MP Type)(DHF)    (3LoadPort) (2R)</t>
  </si>
  <si>
    <t xml:space="preserve">94456</t>
  </si>
  <si>
    <t xml:space="preserve">Cleaner (SR Type)(SST)                (3LoadPort)</t>
  </si>
  <si>
    <t xml:space="preserve">93116</t>
  </si>
  <si>
    <t xml:space="preserve">DRS-SH (FS-820L)</t>
  </si>
  <si>
    <t xml:space="preserve">Wet Etching System </t>
  </si>
  <si>
    <t xml:space="preserve">101618</t>
  </si>
  <si>
    <t xml:space="preserve">FC-3000</t>
  </si>
  <si>
    <t xml:space="preserve">WET STATION,Copper Tool</t>
  </si>
  <si>
    <t xml:space="preserve">101619</t>
  </si>
  <si>
    <t xml:space="preserve">102179</t>
  </si>
  <si>
    <t xml:space="preserve">FC-3100</t>
  </si>
  <si>
    <t xml:space="preserve">Wet bench</t>
  </si>
  <si>
    <t xml:space="preserve">78776</t>
  </si>
  <si>
    <t xml:space="preserve">FC3100</t>
  </si>
  <si>
    <t xml:space="preserve">CLEAN</t>
  </si>
  <si>
    <t xml:space="preserve">De-installed, crated, warehoused. Can be inspected by prior appointment.</t>
  </si>
  <si>
    <t xml:space="preserve">79044</t>
  </si>
  <si>
    <t xml:space="preserve">Wet</t>
  </si>
  <si>
    <t xml:space="preserve">103082</t>
  </si>
  <si>
    <t xml:space="preserve">MP-3000</t>
  </si>
  <si>
    <t xml:space="preserve">Wet Processing</t>
  </si>
  <si>
    <t xml:space="preserve">WET 15-3DNS_MP30_DHF_04 DNS MP3000 DHF</t>
  </si>
  <si>
    <t xml:space="preserve">103083</t>
  </si>
  <si>
    <t xml:space="preserve">94457</t>
  </si>
  <si>
    <t xml:space="preserve">MP2000</t>
  </si>
  <si>
    <t xml:space="preserve">Single Wafer Cleaner </t>
  </si>
  <si>
    <t xml:space="preserve">102991</t>
  </si>
  <si>
    <t xml:space="preserve">RE-8000</t>
  </si>
  <si>
    <t xml:space="preserve">X Ray Analysis System</t>
  </si>
  <si>
    <t xml:space="preserve">102954</t>
  </si>
  <si>
    <t xml:space="preserve">RF3</t>
  </si>
  <si>
    <t xml:space="preserve">Photoresist coater and developer</t>
  </si>
  <si>
    <t xml:space="preserve">102955</t>
  </si>
  <si>
    <t xml:space="preserve">101795</t>
  </si>
  <si>
    <t xml:space="preserve">SC-W80A-AG</t>
  </si>
  <si>
    <t xml:space="preserve">SOG Coater</t>
  </si>
  <si>
    <t xml:space="preserve">102690</t>
  </si>
  <si>
    <t xml:space="preserve">SC-W80A-AVG</t>
  </si>
  <si>
    <t xml:space="preserve">Spin On Glass (SOG) Coater</t>
  </si>
  <si>
    <t xml:space="preserve">Last PM date is 2020/09/30.The system is on-line.All the cables are 
present.Shipping Brackets are included.Handler type is SMIF ARM # 
Cassette.Robot type is Indexer ARM.System SW(OS) Version is 5D3B.</t>
  </si>
  <si>
    <t xml:space="preserve">102691</t>
  </si>
  <si>
    <t xml:space="preserve">Last PM date is 2020/09/30.The system is on-line.All the cables are 
present.Shipping Brackets are included.Handler type is SMIF ARM # 
Cassette.Robot type is Indexer ARM.System SW(OS) Version is 5D3C.</t>
  </si>
  <si>
    <t xml:space="preserve">101796</t>
  </si>
  <si>
    <t xml:space="preserve">SC-W80A-AVQ</t>
  </si>
  <si>
    <t xml:space="preserve">Polyimide coater</t>
  </si>
  <si>
    <t xml:space="preserve">101797</t>
  </si>
  <si>
    <t xml:space="preserve">SD-W80A-A</t>
  </si>
  <si>
    <t xml:space="preserve">Organic stripper</t>
  </si>
  <si>
    <t xml:space="preserve">91577</t>
  </si>
  <si>
    <t xml:space="preserve">SD-W80A-AVP</t>
  </si>
  <si>
    <t xml:space="preserve">Developer system (1D)</t>
  </si>
  <si>
    <t xml:space="preserve">101798</t>
  </si>
  <si>
    <t xml:space="preserve">SD-W80A-AVQ</t>
  </si>
  <si>
    <t xml:space="preserve">Polyimide developer</t>
  </si>
  <si>
    <t xml:space="preserve">98459</t>
  </si>
  <si>
    <t xml:space="preserve">SK-2000</t>
  </si>
  <si>
    <t xml:space="preserve">coater and developer</t>
  </si>
  <si>
    <t xml:space="preserve">93076</t>
  </si>
  <si>
    <t xml:space="preserve">SK-200W-AVPF</t>
  </si>
  <si>
    <t xml:space="preserve">Coater / Developer system (2C/2D)</t>
  </si>
  <si>
    <t xml:space="preserve">93077</t>
  </si>
  <si>
    <t xml:space="preserve">SK-200W-BVPE</t>
  </si>
  <si>
    <t xml:space="preserve">i-Line Photo Track Coater (3C3D)</t>
  </si>
  <si>
    <t xml:space="preserve">91580</t>
  </si>
  <si>
    <t xml:space="preserve">SK-80B-BVPF</t>
  </si>
  <si>
    <t xml:space="preserve">Track (3C)</t>
  </si>
  <si>
    <t xml:space="preserve">91581</t>
  </si>
  <si>
    <t xml:space="preserve">SK-80BW AVPE</t>
  </si>
  <si>
    <t xml:space="preserve">Coater / Developer system(2C/2D)</t>
  </si>
  <si>
    <t xml:space="preserve">91582</t>
  </si>
  <si>
    <t xml:space="preserve">SK-80BW-AVPE</t>
  </si>
  <si>
    <t xml:space="preserve">Coater/ Developer (2C/2D) </t>
  </si>
  <si>
    <t xml:space="preserve">102873</t>
  </si>
  <si>
    <t xml:space="preserve">Photo Resist Develop System</t>
  </si>
  <si>
    <t xml:space="preserve">1C2D</t>
  </si>
  <si>
    <t xml:space="preserve">91583</t>
  </si>
  <si>
    <t xml:space="preserve">SK-80BW-BVP</t>
  </si>
  <si>
    <t xml:space="preserve">Coater/ Developer (2C/3D) </t>
  </si>
  <si>
    <t xml:space="preserve">91584</t>
  </si>
  <si>
    <t xml:space="preserve">SK-80BW-BVPE</t>
  </si>
  <si>
    <t xml:space="preserve">91585</t>
  </si>
  <si>
    <t xml:space="preserve">SK-W80A-AVP</t>
  </si>
  <si>
    <t xml:space="preserve">Color Track (2C 1D)</t>
  </si>
  <si>
    <t xml:space="preserve">93075</t>
  </si>
  <si>
    <t xml:space="preserve">SK-W80B-AVPE</t>
  </si>
  <si>
    <t xml:space="preserve">IN LINE Track (2C/2D)</t>
  </si>
  <si>
    <t xml:space="preserve">102874</t>
  </si>
  <si>
    <t xml:space="preserve">Photo Resist Coat and Develop System</t>
  </si>
  <si>
    <t xml:space="preserve">1C2D1IFB, Right to Let Flow</t>
  </si>
  <si>
    <t xml:space="preserve">91587</t>
  </si>
  <si>
    <t xml:space="preserve">SKW-80A-AVPE </t>
  </si>
  <si>
    <t xml:space="preserve">Track (1C2D)</t>
  </si>
  <si>
    <t xml:space="preserve">102875</t>
  </si>
  <si>
    <t xml:space="preserve">SKW-80A-BVPE</t>
  </si>
  <si>
    <t xml:space="preserve">1RSV1C2D1IFB</t>
  </si>
  <si>
    <t xml:space="preserve">102876</t>
  </si>
  <si>
    <t xml:space="preserve">91657</t>
  </si>
  <si>
    <t xml:space="preserve">SS-3000-A</t>
  </si>
  <si>
    <t xml:space="preserve">Scrubber (4F)</t>
  </si>
  <si>
    <t xml:space="preserve">91658</t>
  </si>
  <si>
    <t xml:space="preserve">91660</t>
  </si>
  <si>
    <t xml:space="preserve">91661</t>
  </si>
  <si>
    <t xml:space="preserve">De-installed, warehoused. Can be inspected by appointment.
Composition : 1. MAIN / 2. EFEM / 3. POWER RACK / 4. PART BOX
 </t>
  </si>
  <si>
    <t xml:space="preserve">91662</t>
  </si>
  <si>
    <t xml:space="preserve">SS-3000-AR</t>
  </si>
  <si>
    <t xml:space="preserve">Scrubber (2F/2B)</t>
  </si>
  <si>
    <t xml:space="preserve">De-installed, warehoused. Can be inspected by appointment.
Composition : EFEM / MAIN BODY / AC RACK / PART BOX</t>
  </si>
  <si>
    <t xml:space="preserve">91664</t>
  </si>
  <si>
    <t xml:space="preserve">91665</t>
  </si>
  <si>
    <t xml:space="preserve">91667</t>
  </si>
  <si>
    <t xml:space="preserve">98268</t>
  </si>
  <si>
    <t xml:space="preserve">SS-3100</t>
  </si>
  <si>
    <t xml:space="preserve">WET Scrubber</t>
  </si>
  <si>
    <t xml:space="preserve">Software Version: YM200N
Process: 4F/4B
Hardware Configuration
Main System 	Main Body 	1
SMIF System 	Shinko Selop Loadports 	4
Handler System 	Indexer Robot 	1
  	Transfer Robot 	1
  	PASS transfer 	1
  	SS Chuck 	4
  	SSR Chuck 	4
  	Reverser 	2
Process Chambers 	SC 1 	1
  	CO2 WATER 	1
  	Rinse/spin dry 	1
Equipment Configuration
Front side Chamber 	4 units
Vacuum chuck 	4 set
SC1 Nozzle 	4 set
CO2 rinse Dry each chamber 	4 set
Brush clean scan 	4 set
Bevel brush 	4 set
Nanospray scan 	4 set
Backside Chamber 	4 units
Chuck pin chuck 	4 units
SC1 Nozzle 	4 set
CO2 rinse Dry each chamber 	4 set
Brush clean scan 	4 set
Nanospray scan 	4 set
Reverser 	 
Reverser to flip wafers for backside processing 	1 unit
Reverser to flip wafers for return to device side up 	1 unit
Transport 	1 unit
Kawasaki IR (indexer robot) 	1 unit
PASS (between IR and CR) 	1 unit
Kawasaki TR (transfer robot) 	1 unit
Please check pictures below for more information</t>
  </si>
  <si>
    <t xml:space="preserve">102877</t>
  </si>
  <si>
    <t xml:space="preserve">SS-W80A-AR</t>
  </si>
  <si>
    <t xml:space="preserve">Wafer Spin Scrubbing/Cleaning</t>
  </si>
  <si>
    <t xml:space="preserve">2 Front, 2 Back Side Scrubbing Units w/ Nanospray</t>
  </si>
  <si>
    <t xml:space="preserve">102878</t>
  </si>
  <si>
    <t xml:space="preserve">2 Front, 2 Back Side Scrubbing Units w/ High Pressure Jet</t>
  </si>
  <si>
    <t xml:space="preserve">102879</t>
  </si>
  <si>
    <t xml:space="preserve">3 Back Side Scrubbing Units w/ High Pressure Jet</t>
  </si>
  <si>
    <t xml:space="preserve">102880</t>
  </si>
  <si>
    <t xml:space="preserve">4 Front Side Scrubbing Units w/ Nanospray</t>
  </si>
  <si>
    <t xml:space="preserve">102881</t>
  </si>
  <si>
    <t xml:space="preserve">4 Front Side Scrubbing Units w/ High Pressure Jet</t>
  </si>
  <si>
    <t xml:space="preserve">102882</t>
  </si>
  <si>
    <t xml:space="preserve">100 mm – 200 mm</t>
  </si>
  <si>
    <t xml:space="preserve">Upgrade and Remanufacturing Compatible Technology Service with New 
Industrial Controller and Digital I/O Controller including Windows GUI 
scheduler SW, WPH upgraded, New Spin Motor/Driver and New Servo 
Motor/Driver for INR &amp; WTR Robots Wafer Level Recipe Processing and 
Command, Real Time Process Log Online Communication (SECS/GEM) Option with 
real time wafer &amp; lot tracking Inch Conversion (4/5/6/8") for both Silicon 
Wafer and LED Sapphire Substrate Upgraded DNS SS-W80A-AR Wafer Spin 
Scrubber - 3 Front, 3 Back Side Scrubbing Units w/ Nanospray - Spin 
Scrubbing Method Modification (High Pressure Jet, D-Sonic, Nanospray) - 
Spin Unit Modification (Front Side, Back Side, Double Sides) - Wafer Flow 
Modification (Left to Right or Right to Left) - Note : HF, NH4OH, SC1 or 
SC2 Chemical Scrubbing Modification is available Upgraded DNS SC-W80A-AVFG 
SOG Coat and Vertical Furnace - 2 SOG Coat Units and 1 Vertical Furnace</t>
  </si>
  <si>
    <t xml:space="preserve">101620</t>
  </si>
  <si>
    <t xml:space="preserve">SS3000</t>
  </si>
  <si>
    <t xml:space="preserve">SCRUBBER,Copper Tool</t>
  </si>
  <si>
    <t xml:space="preserve">91671</t>
  </si>
  <si>
    <t xml:space="preserve">SSW-60A-AR</t>
  </si>
  <si>
    <t xml:space="preserve">De-installed, warehoused. Can be inspected by appointment.
Operational at de-installation 
Missing Jet – Pump 4ea; Chemical nozzle where unit inside; Serve pack 1 
pcs.
Can be provided refurbished with missing parts replaced
 </t>
  </si>
  <si>
    <t xml:space="preserve">91672</t>
  </si>
  <si>
    <t xml:space="preserve">SSW-80A-A</t>
  </si>
  <si>
    <t xml:space="preserve">Scrubber (Part machine)</t>
  </si>
  <si>
    <t xml:space="preserve">91674</t>
  </si>
  <si>
    <t xml:space="preserve">SU-3000</t>
  </si>
  <si>
    <t xml:space="preserve">Cleaner (MP Type) (2L/P)</t>
  </si>
  <si>
    <t xml:space="preserve">91677</t>
  </si>
  <si>
    <t xml:space="preserve">91678</t>
  </si>
  <si>
    <t xml:space="preserve">91679</t>
  </si>
  <si>
    <t xml:space="preserve">91681</t>
  </si>
  <si>
    <t xml:space="preserve">Cleaner (MP Type) (3L/P)</t>
  </si>
  <si>
    <t xml:space="preserve">91682</t>
  </si>
  <si>
    <t xml:space="preserve">91683</t>
  </si>
  <si>
    <t xml:space="preserve">91684</t>
  </si>
  <si>
    <t xml:space="preserve">91675</t>
  </si>
  <si>
    <t xml:space="preserve">Cleaner (MP Type) (3L/P) (1R)</t>
  </si>
  <si>
    <t xml:space="preserve">91673</t>
  </si>
  <si>
    <t xml:space="preserve">Cleaner (SR Type) (3L/P)</t>
  </si>
  <si>
    <t xml:space="preserve">91676</t>
  </si>
  <si>
    <t xml:space="preserve">91680</t>
  </si>
  <si>
    <t xml:space="preserve">102692</t>
  </si>
  <si>
    <t xml:space="preserve">Single Wafer Wet Processing</t>
  </si>
  <si>
    <t xml:space="preserve">102693</t>
  </si>
  <si>
    <t xml:space="preserve">HARD DISK DRIVE WILL BE REMOVED FROM TOOL.Other missing or damaged parts: 
none.[Chamber A] Chemical : AM1(NH4OH/DIW/OTHERS) 70deg SPRAY : NANO 
SPRAY N2 5~20L/min Rinse(front/back) :DIW/ CO2 injection ,resistivity 
&lt;1MΩ Spin DRY : N2 100l/min with shield plate, 2500rpm[Chamber 
B] Chemical : DHF(1:300) 23deg, SPRAY : NANO SPRAY N2 
5~20L/min Rinse(front/back) :DIW/ CO2 injection ,resistivity &lt;1MΩ Spin 
DRY : N2 100l/min with shield plate, 2500rpm[Chamber C] Chemical : 
AM1(NH4OH/DIW/OTHERS) 70deg SPRAY : NANO SPRAY N2 
5~20L/min Rinse(front/back) :DIW/ CO2 injection ,resistivity &lt;1MΩ Spin 
DRY : N2 100l/min with shield plate, 2500rpm[Chamber D] Chemical : 
DHF(1:300) 23deg, SPRAY : NANO SPRAY N2 5~20L/min Rinse(front/back) :DIW/ 
CO2 injection ,resistivity &lt;1MΩ Spin DRY : N2 100l/min with shield plate, 
2500rpm</t>
  </si>
  <si>
    <t xml:space="preserve">102695</t>
  </si>
  <si>
    <t xml:space="preserve"> Installed - In Production Hard Disk Drive will be removed from tool.Other 
missing or damaged parts: none.[Chamber A] Chemical : AM1(NH4OH/DIW/OTHERS) 
70deg SPRAY : NANO SPRAY N2 5~20L/min Rinse(front/back) :DIW/ CO2 injection 
,resistivity &lt;1MΩ Spin DRY : N2 100l/min with shield plate, 2500rpm[Chamber 
B] Chemical : DHF(1:300) 23deg, SPRAY : NANO SPRAY N2 
5~20L/min Rinse(front/back) :DIW/ CO2 injection ,resistivity &lt;1MΩ Spin 
DRY : N2 100l/min with shield plate, 2500rpm[Chamber C] Chemical : 
AM1(NH4OH/DIW/OTHERS) 70deg SPRAY : NANO SPRAY N2 
5~20L/min Rinse(front/back) :DIW/ CO2 injection ,resistivity &lt;1MΩ Spin 
DRY : N2 100l/min with shield plate, 2500rpm[Chamber D] Chemical : 
DHF(1:300) 23deg, SPRAY : NANO SPRAY N2 5~20L/min Rinse(front/back) :DIW/ 
CO2 injection ,resistivity &lt;1MΩ Spin DRY : N2 100l/min with shield plate, 
2500rpm</t>
  </si>
  <si>
    <t xml:space="preserve">103084</t>
  </si>
  <si>
    <t xml:space="preserve">WET 15-3DNS_SU30_DHF_04R300 DNS SU3000 DHF</t>
  </si>
  <si>
    <t xml:space="preserve">102184</t>
  </si>
  <si>
    <t xml:space="preserve">SU-3100</t>
  </si>
  <si>
    <t xml:space="preserve">Wafer Cleaning System</t>
  </si>
  <si>
    <t xml:space="preserve">102185</t>
  </si>
  <si>
    <t xml:space="preserve">102186</t>
  </si>
  <si>
    <t xml:space="preserve">102187</t>
  </si>
  <si>
    <t xml:space="preserve">102188</t>
  </si>
  <si>
    <t xml:space="preserve">102558</t>
  </si>
  <si>
    <t xml:space="preserve">DNS </t>
  </si>
  <si>
    <t xml:space="preserve">RF3S</t>
  </si>
  <si>
    <t xml:space="preserve">coater and developer( 4C4D)</t>
  </si>
  <si>
    <t xml:space="preserve">101645</t>
  </si>
  <si>
    <t xml:space="preserve">Dressler</t>
  </si>
  <si>
    <t xml:space="preserve">CESAR 136D</t>
  </si>
  <si>
    <t xml:space="preserve">RF GENERATOR</t>
  </si>
  <si>
    <t xml:space="preserve">102500</t>
  </si>
  <si>
    <t xml:space="preserve">HiLight 133</t>
  </si>
  <si>
    <t xml:space="preserve">Refurbished.
6 month warranty included
Please check pictures below for more information</t>
  </si>
  <si>
    <t xml:space="preserve">102956</t>
  </si>
  <si>
    <t xml:space="preserve">DYNATECH</t>
  </si>
  <si>
    <t xml:space="preserve">DT_ECS2030</t>
  </si>
  <si>
    <t xml:space="preserve">Automated Wafer Taper</t>
  </si>
  <si>
    <t xml:space="preserve">99413</t>
  </si>
  <si>
    <t xml:space="preserve">Dynatex</t>
  </si>
  <si>
    <t xml:space="preserve">DX III</t>
  </si>
  <si>
    <t xml:space="preserve">Wafer Scriber/Breaker</t>
  </si>
  <si>
    <t xml:space="preserve">For Scribing &amp; Breaking of up to 4” Wafers Chip Free™ Breaking Mechanism 
Uses Impact Breaking System Minimum Die Size: 0.005” Square (125µ) Wafer 
Thickness Range: 0.004” (100µ) to 0.039” (975µ) CCD Camera Alignment System 
Internal PC Control System DOS Operating System Operators and Maintenance 
Manuals Facilities Required: Input Voltage: 115VAC, 60Hz, 5A CDA or N2: 
60-85 PSIG, 0.5 CFM Vacuum: 15-28 In. Hg, 0.5 CFM</t>
  </si>
  <si>
    <t xml:space="preserve">102589</t>
  </si>
  <si>
    <t xml:space="preserve">E+H</t>
  </si>
  <si>
    <t xml:space="preserve">MX 203-6-33</t>
  </si>
  <si>
    <t xml:space="preserve">Wafer Bow Measurement System</t>
  </si>
  <si>
    <t xml:space="preserve">100 - 150 mm</t>
  </si>
  <si>
    <t xml:space="preserve">Machine Dimensions: 50x50x30 (LxWxH)
Weight: 10 Kg
Please check pictures below for more information</t>
  </si>
  <si>
    <t xml:space="preserve">90182</t>
  </si>
  <si>
    <t xml:space="preserve">EBARA</t>
  </si>
  <si>
    <t xml:space="preserve">A10S</t>
  </si>
  <si>
    <t xml:space="preserve">DRY PUMP</t>
  </si>
  <si>
    <t xml:space="preserve">DEINSTALLED, WAREHOUSED</t>
  </si>
  <si>
    <t xml:space="preserve">90185</t>
  </si>
  <si>
    <t xml:space="preserve">A150W-T</t>
  </si>
  <si>
    <t xml:space="preserve">90183</t>
  </si>
  <si>
    <t xml:space="preserve">A30W</t>
  </si>
  <si>
    <t xml:space="preserve">87913</t>
  </si>
  <si>
    <t xml:space="preserve">Ebara</t>
  </si>
  <si>
    <t xml:space="preserve">90184</t>
  </si>
  <si>
    <t xml:space="preserve">A70W</t>
  </si>
  <si>
    <t xml:space="preserve">90186</t>
  </si>
  <si>
    <t xml:space="preserve">AA40WNV1-E</t>
  </si>
  <si>
    <t xml:space="preserve">87914</t>
  </si>
  <si>
    <t xml:space="preserve">AA70W</t>
  </si>
  <si>
    <t xml:space="preserve">87915</t>
  </si>
  <si>
    <t xml:space="preserve">AA70WN</t>
  </si>
  <si>
    <t xml:space="preserve">101799</t>
  </si>
  <si>
    <t xml:space="preserve">EPO222T</t>
  </si>
  <si>
    <t xml:space="preserve">CMP</t>
  </si>
  <si>
    <t xml:space="preserve">102189</t>
  </si>
  <si>
    <t xml:space="preserve">F-REX200</t>
  </si>
  <si>
    <t xml:space="preserve">102190</t>
  </si>
  <si>
    <t xml:space="preserve">F-REX300</t>
  </si>
  <si>
    <t xml:space="preserve">Cu polisher</t>
  </si>
  <si>
    <t xml:space="preserve">102191</t>
  </si>
  <si>
    <t xml:space="preserve">F-REX300S</t>
  </si>
  <si>
    <t xml:space="preserve">EFEM,Oxide CMP</t>
  </si>
  <si>
    <t xml:space="preserve">102193</t>
  </si>
  <si>
    <t xml:space="preserve">polisher</t>
  </si>
  <si>
    <t xml:space="preserve">102192</t>
  </si>
  <si>
    <t xml:space="preserve">WCMP</t>
  </si>
  <si>
    <t xml:space="preserve">102194</t>
  </si>
  <si>
    <t xml:space="preserve">F-REX300S2</t>
  </si>
  <si>
    <t xml:space="preserve">101621</t>
  </si>
  <si>
    <t xml:space="preserve">FREX 300</t>
  </si>
  <si>
    <t xml:space="preserve">POLISHER,Copper Tool</t>
  </si>
  <si>
    <t xml:space="preserve">98461</t>
  </si>
  <si>
    <t xml:space="preserve">Frex 300</t>
  </si>
  <si>
    <t xml:space="preserve">STI CMP ( missing front end robot and load port)</t>
  </si>
  <si>
    <t xml:space="preserve">98460</t>
  </si>
  <si>
    <t xml:space="preserve">W CMP</t>
  </si>
  <si>
    <t xml:space="preserve">Deinstalled, warehoused. Can be inspected by appointment.
HDD NOT INCLUDED</t>
  </si>
  <si>
    <t xml:space="preserve">103085</t>
  </si>
  <si>
    <t xml:space="preserve">FREX300</t>
  </si>
  <si>
    <t xml:space="preserve"> - The system is on line. All cable are present. The equipment has missing 
parts. Handler type is FOUP Loaders. The robot is YASKAWA and not include 
pre-aligner and mini- environment. The supporting equipment include power 
supply and AC Dist Box. Facility Requirements: CDA / DIW / Vacuum / Gas(N2) 
/ Power(208V).</t>
  </si>
  <si>
    <t xml:space="preserve">103086</t>
  </si>
  <si>
    <t xml:space="preserve">FREX300S2</t>
  </si>
  <si>
    <t xml:space="preserve">Multi-Process CMP - CMP Equipment</t>
  </si>
  <si>
    <t xml:space="preserve">Main System: F-REX300S2F-REX300S2 DetailsPolishing UnitTurn Table x4, Top 
Ring x4(GX 8-Area), Scan Dresser x4, Atomizer x4,Liner Transportor x2, Turn 
Over x2, STP x1, System Controller,Slurry Scan Nozzle x4, Wafer Slip-Out 
Sensor x4, Operation Panel x2Cleaner Unit1st:R/R w/Megasonic Jet, 2nd:R/R, 
3rd:2FJ, 4th:IPA/SRDEFEM UnitDry Robot x1, Loadport x4, Operation Panel x2, 
ITM NOVA Ready at Left SideM14 Common Spec &amp; FA Spec RequirementM14 
Hardware Requirement &amp; Improvement Items (Slurry Nozzle Motor Type, Auto 
Calibration)Standard OptionsSpare GX CarrierAnti-Static Material for Wafer 
Exposed SurfaceEddy Current End Point Monitor (R-ECM1D) for 2 
Table-A&amp;CME-30 x2 for S-OPM &amp; TCM EPD ControllerMalema Slurry Flow 
Controller for 3 Line/TableLight Curtain for EFEMEquipment Monitor 
Function(Camera)</t>
  </si>
  <si>
    <t xml:space="preserve">103087</t>
  </si>
  <si>
    <t xml:space="preserve"> 1.Main System: F-REX300S2 I.Polishing Unit ①Turn Table x4, Top Ring x4(GX 
8-Area), Scan Dresser x4, Atomizer x4, ②Liner Transportor x2, Turn Over x2, 
STP x1, System Controller, ③Slurry Scan Nozzle x4, Wafer Slip-Out Sensor 
x4, Operation Panel x2 II.Cleaner Unit ④1st: R/R w/Megasonic Jet, 2nd:R/R, 
3rd:R/R, 4th:IPA/SRD III.EFEM Unit ⑤Dry Robot x1, Loadport x4, Operation 
Panel x2, ITM NOVA Ready at Left Side IV.M14 Common Spec &amp; FA Spec 
Requirement V.M14 Hardware Requirement &amp; Improvement Items (Slurry Nozzle 
Motor Type, Auto Calibration) 2.Standard Options I.Spare GX Carrier 
II.Anti-Static Material for Wafer Exposed Surface III.Eddy Current End 
Point Monitor (R-ECM1D) for 2 Table-B&amp;D IV.ME-30 x2 for S-OPM &amp; TCM EPD 
Controller V.Malema Slurry Flow Controller for 3 Line/Table VI.Light 
Curtain for EFEM VII.Equipment Monitor Function (Camera)</t>
  </si>
  <si>
    <t xml:space="preserve">103153</t>
  </si>
  <si>
    <t xml:space="preserve">ECI </t>
  </si>
  <si>
    <t xml:space="preserve">QL-10EZ</t>
  </si>
  <si>
    <t xml:space="preserve">Plating Bath Analyzer</t>
  </si>
  <si>
    <t xml:space="preserve">103154</t>
  </si>
  <si>
    <t xml:space="preserve">Qualifill  QFDS-1800 </t>
  </si>
  <si>
    <t xml:space="preserve">Chemical Management System</t>
  </si>
  <si>
    <t xml:space="preserve">97852</t>
  </si>
  <si>
    <t xml:space="preserve">ED Laboratory</t>
  </si>
  <si>
    <t xml:space="preserve">ED-330</t>
  </si>
  <si>
    <t xml:space="preserve">87922</t>
  </si>
  <si>
    <t xml:space="preserve">Edwards</t>
  </si>
  <si>
    <t xml:space="preserve">EPX180L</t>
  </si>
  <si>
    <t xml:space="preserve">87923</t>
  </si>
  <si>
    <t xml:space="preserve">EPX180LE</t>
  </si>
  <si>
    <t xml:space="preserve">87924</t>
  </si>
  <si>
    <t xml:space="preserve">EPX180NE</t>
  </si>
  <si>
    <t xml:space="preserve">87925</t>
  </si>
  <si>
    <t xml:space="preserve">EPX500LE</t>
  </si>
  <si>
    <t xml:space="preserve">87921</t>
  </si>
  <si>
    <t xml:space="preserve">EPX500NE</t>
  </si>
  <si>
    <t xml:space="preserve">87926</t>
  </si>
  <si>
    <t xml:space="preserve">EPXTWIN180L</t>
  </si>
  <si>
    <t xml:space="preserve">90181</t>
  </si>
  <si>
    <t xml:space="preserve">EDWARDS</t>
  </si>
  <si>
    <t xml:space="preserve">IDT-001S4</t>
  </si>
  <si>
    <t xml:space="preserve">turbo</t>
  </si>
  <si>
    <t xml:space="preserve">87927</t>
  </si>
  <si>
    <t xml:space="preserve">IGX1000N</t>
  </si>
  <si>
    <t xml:space="preserve">87928</t>
  </si>
  <si>
    <t xml:space="preserve">IGX100L</t>
  </si>
  <si>
    <t xml:space="preserve">101905</t>
  </si>
  <si>
    <t xml:space="preserve">IGX100M</t>
  </si>
  <si>
    <t xml:space="preserve">98388</t>
  </si>
  <si>
    <t xml:space="preserve">iH-1000</t>
  </si>
  <si>
    <t xml:space="preserve">Vacuum Pump</t>
  </si>
  <si>
    <t xml:space="preserve">87929</t>
  </si>
  <si>
    <t xml:space="preserve">IH1000</t>
  </si>
  <si>
    <t xml:space="preserve">87930</t>
  </si>
  <si>
    <t xml:space="preserve">IH1000HTX</t>
  </si>
  <si>
    <t xml:space="preserve">Total of 17 Pumps.
14 As-is condition
3 refurbished Condition</t>
  </si>
  <si>
    <t xml:space="preserve">101906</t>
  </si>
  <si>
    <t xml:space="preserve">IH1800</t>
  </si>
  <si>
    <t xml:space="preserve">87931</t>
  </si>
  <si>
    <t xml:space="preserve">101907</t>
  </si>
  <si>
    <t xml:space="preserve">iH1800SC</t>
  </si>
  <si>
    <t xml:space="preserve">101908</t>
  </si>
  <si>
    <t xml:space="preserve">iH80</t>
  </si>
  <si>
    <t xml:space="preserve">101335</t>
  </si>
  <si>
    <t xml:space="preserve">iQDP80/QMB500</t>
  </si>
  <si>
    <t xml:space="preserve">90180</t>
  </si>
  <si>
    <t xml:space="preserve">IX3006CV</t>
  </si>
  <si>
    <t xml:space="preserve">DEINSTALLED, WAREHOUSED
POWERS UP</t>
  </si>
  <si>
    <t xml:space="preserve">101909</t>
  </si>
  <si>
    <t xml:space="preserve">QDP40</t>
  </si>
  <si>
    <t xml:space="preserve">90193</t>
  </si>
  <si>
    <t xml:space="preserve">QDP40+QMB250</t>
  </si>
  <si>
    <t xml:space="preserve">90194</t>
  </si>
  <si>
    <t xml:space="preserve">QDP80</t>
  </si>
  <si>
    <t xml:space="preserve">101336</t>
  </si>
  <si>
    <t xml:space="preserve">101646</t>
  </si>
  <si>
    <t xml:space="preserve">STP-A2203LVS</t>
  </si>
  <si>
    <t xml:space="preserve">Turbo Molecular Pump</t>
  </si>
  <si>
    <t xml:space="preserve">95950</t>
  </si>
  <si>
    <t xml:space="preserve">STP-A2203SL</t>
  </si>
  <si>
    <t xml:space="preserve">Turbo Pump</t>
  </si>
  <si>
    <t xml:space="preserve">Condition : Overhauled (3 months warranty on Asia, no warranty on US &amp; 
Europe but replaced with overhaul report)</t>
  </si>
  <si>
    <t xml:space="preserve">97845</t>
  </si>
  <si>
    <t xml:space="preserve">STP1003C</t>
  </si>
  <si>
    <t xml:space="preserve">Turbo Pump, (ISO 200K)</t>
  </si>
  <si>
    <t xml:space="preserve">-A new, unused pump
-Purchased in September 2019</t>
  </si>
  <si>
    <t xml:space="preserve">101037</t>
  </si>
  <si>
    <t xml:space="preserve">STPiXA2205C PN: YT63‐1Z‐040</t>
  </si>
  <si>
    <t xml:space="preserve">Turbomolecular Vacuum Pump</t>
  </si>
  <si>
    <t xml:space="preserve">Edwards turbomolecular pump for high vacuum, 2200 L/s. With integrated 
controller. Without power supply and cables.</t>
  </si>
  <si>
    <t xml:space="preserve">101038</t>
  </si>
  <si>
    <t xml:space="preserve">101039</t>
  </si>
  <si>
    <t xml:space="preserve">STPiXA2205C PN:YT63‐1Z‐000</t>
  </si>
  <si>
    <t xml:space="preserve">101040</t>
  </si>
  <si>
    <t xml:space="preserve">101041</t>
  </si>
  <si>
    <t xml:space="preserve">102943</t>
  </si>
  <si>
    <t xml:space="preserve">Batch of Dry Pumps and Roughing Pumps</t>
  </si>
  <si>
    <t xml:space="preserve">Edwards iH600, iH80, iGX100M, iQDP80, QDP80, iQDP40, QDP40 Edwards 
iQDP80+QMB500, iQDP80+QMB250, QDP80+QMB500 Ebara A150W-T, A70W, A30W, 
80x25, 40x20 Alcatel ADS501, Leybold WSU501, Kashiyama SD90V</t>
  </si>
  <si>
    <t xml:space="preserve">101679</t>
  </si>
  <si>
    <t xml:space="preserve">Electroglas</t>
  </si>
  <si>
    <t xml:space="preserve">1034</t>
  </si>
  <si>
    <t xml:space="preserve">101680</t>
  </si>
  <si>
    <t xml:space="preserve">4090u </t>
  </si>
  <si>
    <t xml:space="preserve">Tri-temp Prober</t>
  </si>
  <si>
    <t xml:space="preserve">101337</t>
  </si>
  <si>
    <t xml:space="preserve">EG 2001</t>
  </si>
  <si>
    <t xml:space="preserve">Wafer Prober</t>
  </si>
  <si>
    <t xml:space="preserve">150mm</t>
  </si>
  <si>
    <t xml:space="preserve">102195</t>
  </si>
  <si>
    <t xml:space="preserve">EG2001</t>
  </si>
  <si>
    <t xml:space="preserve">102196</t>
  </si>
  <si>
    <t xml:space="preserve">EG2001CX</t>
  </si>
  <si>
    <t xml:space="preserve">102197</t>
  </si>
  <si>
    <t xml:space="preserve">EG2001X</t>
  </si>
  <si>
    <t xml:space="preserve">102198</t>
  </si>
  <si>
    <t xml:space="preserve">102199</t>
  </si>
  <si>
    <t xml:space="preserve">102200</t>
  </si>
  <si>
    <t xml:space="preserve">102201</t>
  </si>
  <si>
    <t xml:space="preserve">102202</t>
  </si>
  <si>
    <t xml:space="preserve">EG4090u</t>
  </si>
  <si>
    <t xml:space="preserve">102203</t>
  </si>
  <si>
    <t xml:space="preserve">102204</t>
  </si>
  <si>
    <t xml:space="preserve">102205</t>
  </si>
  <si>
    <t xml:space="preserve">99387</t>
  </si>
  <si>
    <t xml:space="preserve">ELES</t>
  </si>
  <si>
    <t xml:space="preserve">ART 200</t>
  </si>
  <si>
    <t xml:space="preserve">Debug Station for Reliability Test System</t>
  </si>
  <si>
    <t xml:space="preserve">RELIABILITY</t>
  </si>
  <si>
    <t xml:space="preserve">-in working condition.
-see attached photos for details.
-The Calibration report is attached.
 </t>
  </si>
  <si>
    <t xml:space="preserve">88025</t>
  </si>
  <si>
    <t xml:space="preserve">ENI</t>
  </si>
  <si>
    <t xml:space="preserve">DCG-200Z</t>
  </si>
  <si>
    <t xml:space="preserve">88026</t>
  </si>
  <si>
    <t xml:space="preserve">DCG-200Z-OPTIMA</t>
  </si>
  <si>
    <t xml:space="preserve">23</t>
  </si>
  <si>
    <t xml:space="preserve">101647</t>
  </si>
  <si>
    <t xml:space="preserve">GHW-50</t>
  </si>
  <si>
    <t xml:space="preserve">GHW-50 RF Generator-(3KW)</t>
  </si>
  <si>
    <t xml:space="preserve">101648</t>
  </si>
  <si>
    <t xml:space="preserve">LPG-6A</t>
  </si>
  <si>
    <t xml:space="preserve">88027</t>
  </si>
  <si>
    <t xml:space="preserve">MWH-100</t>
  </si>
  <si>
    <t xml:space="preserve">88028</t>
  </si>
  <si>
    <t xml:space="preserve">OEM-50N</t>
  </si>
  <si>
    <t xml:space="preserve">88029</t>
  </si>
  <si>
    <t xml:space="preserve">RFC-6</t>
  </si>
  <si>
    <t xml:space="preserve">87094</t>
  </si>
  <si>
    <t xml:space="preserve">Entegris</t>
  </si>
  <si>
    <t xml:space="preserve">SS2500 SE GateKeeper</t>
  </si>
  <si>
    <t xml:space="preserve">H2 Purifing filter</t>
  </si>
  <si>
    <t xml:space="preserve">-SEE ATTACHED PHOTOS FOR CONDITION
-INSPECTION AVAILABLE BY APPOINTMENT
-Located in Europe.
1 regenerated Entegris H2 purifier 2500 SE (regenerated in 2017) – see 
attached pictures</t>
  </si>
  <si>
    <t xml:space="preserve">100640</t>
  </si>
  <si>
    <t xml:space="preserve">EO tech</t>
  </si>
  <si>
    <t xml:space="preserve">BSM 364</t>
  </si>
  <si>
    <t xml:space="preserve">Laser Marker</t>
  </si>
  <si>
    <t xml:space="preserve">100033</t>
  </si>
  <si>
    <t xml:space="preserve">EO TECH</t>
  </si>
  <si>
    <t xml:space="preserve">BSM2424</t>
  </si>
  <si>
    <t xml:space="preserve">LASER MARKING</t>
  </si>
  <si>
    <t xml:space="preserve">101751</t>
  </si>
  <si>
    <t xml:space="preserve">EO Techniccs</t>
  </si>
  <si>
    <t xml:space="preserve">BM364</t>
  </si>
  <si>
    <t xml:space="preserve">Manual Feed Laser Marker</t>
  </si>
  <si>
    <t xml:space="preserve">101752</t>
  </si>
  <si>
    <t xml:space="preserve">98462</t>
  </si>
  <si>
    <t xml:space="preserve">EO TECHNICS</t>
  </si>
  <si>
    <t xml:space="preserve">CSM 3000</t>
  </si>
  <si>
    <t xml:space="preserve">Chip Scale laser marker</t>
  </si>
  <si>
    <t xml:space="preserve">200 mm/300 mm</t>
  </si>
  <si>
    <t xml:space="preserve">Deinstalled, warehoused. Can be inspected by appointment.
See attached photos for details.
These photos were taken when the tool was being move out from the facility 
where it was originally operating.
Installed Software version: 7.1
MTBF: 3487.
Wafer size set in the software: 200 mm
Included:
EO Technics Chip Scale Marker  Wavelength : 532 nm Output Max: 3 Watts
Robot type: JEL, with dual ceramic end-effectors.
Robot controller type: C5510-00630
Voltage: 220VAX, 1 Phase
Current: 40 amp
CE Marked
Complies with US 21 CFR 1040.10</t>
  </si>
  <si>
    <t xml:space="preserve">101849</t>
  </si>
  <si>
    <t xml:space="preserve">ESEC</t>
  </si>
  <si>
    <t xml:space="preserve">2008 hS</t>
  </si>
  <si>
    <t xml:space="preserve">4 Sets available.
Please check pictures below for more information.</t>
  </si>
  <si>
    <t xml:space="preserve">100641</t>
  </si>
  <si>
    <t xml:space="preserve">Esec</t>
  </si>
  <si>
    <t xml:space="preserve">2008XP</t>
  </si>
  <si>
    <t xml:space="preserve">68903</t>
  </si>
  <si>
    <t xml:space="preserve">3006 F/X</t>
  </si>
  <si>
    <t xml:space="preserve">Fully Automatic Wire bonder</t>
  </si>
  <si>
    <t xml:space="preserve">W131</t>
  </si>
  <si>
    <t xml:space="preserve">100704</t>
  </si>
  <si>
    <t xml:space="preserve">3018</t>
  </si>
  <si>
    <t xml:space="preserve">Gold Ball Bonder</t>
  </si>
  <si>
    <t xml:space="preserve">Type: W-181 without microscope, complete but only for spare parts
Configuration and pictures available upon request
SOLD VIA PRIVATE TREATY BIDDING</t>
  </si>
  <si>
    <t xml:space="preserve">100705</t>
  </si>
  <si>
    <t xml:space="preserve">3088</t>
  </si>
  <si>
    <t xml:space="preserve">Type: W-133, with Microscope,complete but only for spare parts
Please check pictures below for more information
SOLD VIA PRIVATE TREATY BIDDING</t>
  </si>
  <si>
    <t xml:space="preserve">68904</t>
  </si>
  <si>
    <t xml:space="preserve">3088 IP</t>
  </si>
  <si>
    <t xml:space="preserve">Wire bonder</t>
  </si>
  <si>
    <t xml:space="preserve">Goldball Wire Bonder, refurbished OEM spec</t>
  </si>
  <si>
    <t xml:space="preserve">91829</t>
  </si>
  <si>
    <t xml:space="preserve">BL-050-N</t>
  </si>
  <si>
    <t xml:space="preserve">Parts Loader for Micron 2 Automatic Die Attacher</t>
  </si>
  <si>
    <t xml:space="preserve">91830</t>
  </si>
  <si>
    <t xml:space="preserve">BU-050-N</t>
  </si>
  <si>
    <t xml:space="preserve">Parts Unloader for Micron 2 Automatic Die Attacher</t>
  </si>
  <si>
    <t xml:space="preserve">100642</t>
  </si>
  <si>
    <t xml:space="preserve">CT2000</t>
  </si>
  <si>
    <t xml:space="preserve">Pick and Place</t>
  </si>
  <si>
    <t xml:space="preserve">100643</t>
  </si>
  <si>
    <t xml:space="preserve">Esec  </t>
  </si>
  <si>
    <t xml:space="preserve">102883</t>
  </si>
  <si>
    <t xml:space="preserve">ESI</t>
  </si>
  <si>
    <t xml:space="preserve">9275</t>
  </si>
  <si>
    <t xml:space="preserve">Laser Repair System - Modules and Parts only</t>
  </si>
  <si>
    <t xml:space="preserve">83592</t>
  </si>
  <si>
    <t xml:space="preserve">9830</t>
  </si>
  <si>
    <t xml:space="preserve">Laser Fuser for spares use</t>
  </si>
  <si>
    <t xml:space="preserve">
Manufacturer:ESI
Model: 9830 PP
Vintage: Feb 2005
Ce marked
Included:
- Diode pumped laser power supply
- FSM Power supply
- Tec low voltage and control 9800
- I/F / AOM Driver
- Servo Amplifiers
- Clary UPS
- Qty 2 AC controllers
- The VME cardcage includes the following boards:
-SCC Sytem Control Computer
-MVC machine Vision control
-RTC Real time controller
-SIC System interlock controller
-MIX Motor interface board
-ZMI 2001 Board Zygo beam Interface
-LIP Board
-GENMARK robot controller</t>
  </si>
  <si>
    <t xml:space="preserve">101028</t>
  </si>
  <si>
    <t xml:space="preserve">Laser Repair</t>
  </si>
  <si>
    <t xml:space="preserve">De-Installed
Warehoused 
Can be inspected by appointment.
Please check pictures below for more information.</t>
  </si>
  <si>
    <t xml:space="preserve">75403</t>
  </si>
  <si>
    <t xml:space="preserve">9835</t>
  </si>
  <si>
    <t xml:space="preserve">LASER FUSER</t>
  </si>
  <si>
    <t xml:space="preserve">Laser hours:  22710hrs
Can be powered on for inspection
vintage :2004-5
Loader type: 2 x 300 mm FOUP.
A high resolution video of this tool in it's current location can be seen 
on you-tube at the following location:-
&lt;https://www.youtube.com/watch?v=YF4bHAn5y1o&gt;
</t>
  </si>
  <si>
    <t xml:space="preserve">92431</t>
  </si>
  <si>
    <t xml:space="preserve">Laser Fuser</t>
  </si>
  <si>
    <t xml:space="preserve">93835</t>
  </si>
  <si>
    <t xml:space="preserve">9850 TPGR</t>
  </si>
  <si>
    <t xml:space="preserve">Can be power up inspection with 20% deposit and 80% before shipment. Lead 
time for power-up demo: 2-3 weeks.
Minimum Spot Size: (1/e2): 1.5 um
Accuracy: 0.15 um
Wavelength: 1.0 um  - Tailored Pulse
Laser rep. rate: 150 kHz
Maximum cut velocity: 400 mm / sec
The equipment has CE mark
Installed s/w version: 9.0g
See attached photos for details.</t>
  </si>
  <si>
    <t xml:space="preserve">101681</t>
  </si>
  <si>
    <t xml:space="preserve">IR9850 </t>
  </si>
  <si>
    <t xml:space="preserve">Laser Repair Machine</t>
  </si>
  <si>
    <t xml:space="preserve">91128</t>
  </si>
  <si>
    <t xml:space="preserve">M4300</t>
  </si>
  <si>
    <t xml:space="preserve">Laser Trimmer</t>
  </si>
  <si>
    <t xml:space="preserve">assembly / SMT</t>
  </si>
  <si>
    <t xml:space="preserve">Deinstalled, in an inspection facility, can be inspected by appointment, 
please refer to the attached photos for details.</t>
  </si>
  <si>
    <t xml:space="preserve">91357</t>
  </si>
  <si>
    <t xml:space="preserve">M9275 </t>
  </si>
  <si>
    <t xml:space="preserve">LASER REPAIR</t>
  </si>
  <si>
    <t xml:space="preserve">91358</t>
  </si>
  <si>
    <t xml:space="preserve">91359</t>
  </si>
  <si>
    <t xml:space="preserve">91360</t>
  </si>
  <si>
    <t xml:space="preserve">91361</t>
  </si>
  <si>
    <t xml:space="preserve">91362</t>
  </si>
  <si>
    <t xml:space="preserve">91363</t>
  </si>
  <si>
    <t xml:space="preserve">M9825</t>
  </si>
  <si>
    <t xml:space="preserve">91364</t>
  </si>
  <si>
    <t xml:space="preserve">91365</t>
  </si>
  <si>
    <t xml:space="preserve">93072</t>
  </si>
  <si>
    <r>
      <rPr>
        <sz val="8"/>
        <rFont val="Arial"/>
        <family val="0"/>
        <charset val="1"/>
      </rPr>
      <t xml:space="preserve">De-installed, warehoused. Can be inspected by appointment. See attached 
photos for details.
1. Laser specification:-
• Laser wavelength: 1.064</t>
    </r>
    <r>
      <rPr>
        <sz val="8"/>
        <rFont val="Noto Sans CJK SC"/>
        <family val="2"/>
        <charset val="1"/>
      </rPr>
      <t xml:space="preserve">㎛
• </t>
    </r>
    <r>
      <rPr>
        <sz val="8"/>
        <rFont val="Arial"/>
        <family val="0"/>
        <charset val="1"/>
      </rPr>
      <t xml:space="preserve">Rep Rate: 70K
• Pulse width: 11.5</t>
    </r>
    <r>
      <rPr>
        <sz val="8"/>
        <rFont val="Noto Sans CJK SC"/>
        <family val="2"/>
        <charset val="1"/>
      </rPr>
      <t xml:space="preserve">㎱
• </t>
    </r>
    <r>
      <rPr>
        <sz val="8"/>
        <rFont val="Arial"/>
        <family val="0"/>
        <charset val="1"/>
      </rPr>
      <t xml:space="preserve">Max Pulse Energy: 1.0uj
• Spot Size: 1.6</t>
    </r>
    <r>
      <rPr>
        <sz val="8"/>
        <rFont val="Noto Sans CJK SC"/>
        <family val="2"/>
        <charset val="1"/>
      </rPr>
      <t xml:space="preserve">㎛
</t>
    </r>
    <r>
      <rPr>
        <sz val="8"/>
        <rFont val="Arial"/>
        <family val="0"/>
        <charset val="1"/>
      </rPr>
      <t xml:space="preserve">2. Accuracy:-
• Accuracy: On-Axis 0.2</t>
    </r>
    <r>
      <rPr>
        <sz val="8"/>
        <rFont val="Noto Sans CJK SC"/>
        <family val="2"/>
        <charset val="1"/>
      </rPr>
      <t xml:space="preserve">㎛</t>
    </r>
    <r>
      <rPr>
        <sz val="8"/>
        <rFont val="Arial"/>
        <family val="0"/>
        <charset val="1"/>
      </rPr>
      <t xml:space="preserve">, Cross-Axis 0.4</t>
    </r>
    <r>
      <rPr>
        <sz val="8"/>
        <rFont val="Noto Sans CJK SC"/>
        <family val="2"/>
        <charset val="1"/>
      </rPr>
      <t xml:space="preserve">㎛
• </t>
    </r>
    <r>
      <rPr>
        <sz val="8"/>
        <rFont val="Arial"/>
        <family val="0"/>
        <charset val="1"/>
      </rPr>
      <t xml:space="preserve">MDA Field: 36000um x 36000um</t>
    </r>
  </si>
  <si>
    <t xml:space="preserve">91366</t>
  </si>
  <si>
    <t xml:space="preserve">M9830</t>
  </si>
  <si>
    <t xml:space="preserve">91367</t>
  </si>
  <si>
    <t xml:space="preserve">93073</t>
  </si>
  <si>
    <t xml:space="preserve">100938</t>
  </si>
  <si>
    <t xml:space="preserve">ESMO</t>
  </si>
  <si>
    <t xml:space="preserve">Hermes</t>
  </si>
  <si>
    <t xml:space="preserve">Testhead Manipulator</t>
  </si>
  <si>
    <t xml:space="preserve">Max Test head load: 90Kg
Please check pictures below for more information
SOLD VIA PRIVATE TREATY BIDDING</t>
  </si>
  <si>
    <t xml:space="preserve">101850</t>
  </si>
  <si>
    <t xml:space="preserve">ESPEC</t>
  </si>
  <si>
    <t xml:space="preserve">EPL-4H</t>
  </si>
  <si>
    <t xml:space="preserve">Reliability Oven</t>
  </si>
  <si>
    <t xml:space="preserve">102590</t>
  </si>
  <si>
    <t xml:space="preserve">EVATEC</t>
  </si>
  <si>
    <t xml:space="preserve">LLS EVO</t>
  </si>
  <si>
    <t xml:space="preserve">PVD Sputtering Tool</t>
  </si>
  <si>
    <t xml:space="preserve">Please check pictures below for more information.
Machine dimensions:
357x307x250 (cm)
Weight: 5000 Kg</t>
  </si>
  <si>
    <t xml:space="preserve">103140</t>
  </si>
  <si>
    <t xml:space="preserve">EVG</t>
  </si>
  <si>
    <t xml:space="preserve">510</t>
  </si>
  <si>
    <t xml:space="preserve">Manual Wafer Load Substrate Bonder</t>
  </si>
  <si>
    <t xml:space="preserve">2 months</t>
  </si>
  <si>
    <t xml:space="preserve">-Tooling for 6" Wafer inclusive Bond Chuck and Pressure Insert
-Capable of fusion compression bonding
-Capable of thermal compression bonding
-Capable of anodic bonding
-Ideal for R&amp;D and pilot production applications
-High-vacuum capable bond chamber
-Auto opening of bond tool cover
-Windows based control software and operation interface
-Wafer size: up to 150mm capable
-Max Bond Force: 7 kN
-Top side heater: 550°C max. in 1°C steps
-Bottom side heater: 550°C max. in 1°C steps
-Chiller
-Temperature uniformity: ± 1,5 %
-Turbo pump and controller
-Roughing pump
-Load/unload tool
-System computer, monitor, and keyboard
-PDF Operations Manual for EVG 520 Bonder</t>
  </si>
  <si>
    <t xml:space="preserve">101338</t>
  </si>
  <si>
    <t xml:space="preserve">6200</t>
  </si>
  <si>
    <t xml:space="preserve">Mask Aligner</t>
  </si>
  <si>
    <t xml:space="preserve">101819</t>
  </si>
  <si>
    <t xml:space="preserve">820</t>
  </si>
  <si>
    <t xml:space="preserve">Mold Carrier Lamination System</t>
  </si>
  <si>
    <t xml:space="preserve">103000</t>
  </si>
  <si>
    <t xml:space="preserve">EV640</t>
  </si>
  <si>
    <t xml:space="preserve">Wafer to Wafer Bond Aligner</t>
  </si>
  <si>
    <t xml:space="preserve">103001</t>
  </si>
  <si>
    <t xml:space="preserve">Smartview</t>
  </si>
  <si>
    <t xml:space="preserve">• High resolution alignment stage with DC servomotors in X, Y and Theta • 
Alignment accuracy +/- 1 um (one sigma) with 20x objectives • Top and 
bottom stage with precision measurement system • Complete computer control 
of all mechanical movements in the aligner. • 17" flat screen for operator 
interface and alignment functions • Joystick control of all alignment 
movements and microscope movement in Z. • Unique three spindle alignment 
stage for shift free Z movements • Remote Diagnostics via modem</t>
  </si>
  <si>
    <t xml:space="preserve">103155</t>
  </si>
  <si>
    <t xml:space="preserve">EVG </t>
  </si>
  <si>
    <t xml:space="preserve">101</t>
  </si>
  <si>
    <t xml:space="preserve">Spray Coater</t>
  </si>
  <si>
    <t xml:space="preserve">DETAILS: EVG 101 SPRAY COATING SYSTEM consisting of: - Model: EVG 101 - 
Semi-Automatic, with Manual loading - Suitable for wafer sizes 1" - 8" 
wafers (with proper chucks and pre-aligner) - Currently configured for 1" - 
6" wafers - One Coat Module - One Cleaning Module - Base frame for one 
resist processing module including all electronics, pneumatics, tubing for 
solvents, and exhaust lines - Manual loading and mechanical pre-aligner 
(pneumatically actuated) - PC controlled with windows based graphical user 
interface - Password protected access levels - Programmable rotational 
speed for substrate - Syringe dispense for spray nozzle option included - 
Spinner chucks for 1" - 3" and 4" - 6" wafers - 4 Floor Mounting Brackets 
included - 1 Vacuum Wand for wafer handling - Exhaust Controller included - 
Operations Manual and Documentation included CONDITION: Excellent Condition 
Guaranteed. Fully Refurbished. 6 Month Warranty and Full Specifications 
Guarantee. 30 Day Right of Return.</t>
  </si>
  <si>
    <t xml:space="preserve">102567</t>
  </si>
  <si>
    <t xml:space="preserve">EXICON</t>
  </si>
  <si>
    <t xml:space="preserve">S3000A</t>
  </si>
  <si>
    <t xml:space="preserve">102599</t>
  </si>
  <si>
    <t xml:space="preserve">Expertech</t>
  </si>
  <si>
    <t xml:space="preserve">CTR-200</t>
  </si>
  <si>
    <t xml:space="preserve">Wet/Dry Oxidation Annealing System</t>
  </si>
  <si>
    <t xml:space="preserve">Description:
- Manual Load 
- For Wet or Dry Oxidation and Annealing 
- For Temperatures up to 1200 Degrees Celsius 
- 25-50 Wafer Load Capacity 
- Up to 200mm Wafers</t>
  </si>
  <si>
    <t xml:space="preserve">103156</t>
  </si>
  <si>
    <t xml:space="preserve">Expertech </t>
  </si>
  <si>
    <t xml:space="preserve">CTR-200 </t>
  </si>
  <si>
    <t xml:space="preserve">Tube Furnace</t>
  </si>
  <si>
    <t xml:space="preserve">Expertech CTR-200 consisting of: - Vintage: 2017 - Manual Load - For Wet or 
Dry Oxidation and Annealing - For Temperatures up to 1200 Degrees Celsius - 
25-50 Wafer Load Capacity - Up to 200mm Wafers</t>
  </si>
  <si>
    <t xml:space="preserve">9954</t>
  </si>
  <si>
    <t xml:space="preserve">FAITH TECHNOLOGY</t>
  </si>
  <si>
    <t xml:space="preserve">RapiTran 2</t>
  </si>
  <si>
    <t xml:space="preserve">Wafer Transfer Station</t>
  </si>
  <si>
    <t xml:space="preserve">150 mm </t>
  </si>
  <si>
    <t xml:space="preserve"> * Configured for 6” Wafers * 25 Wafer Load/Unload * Boat to Boat Transfer 
* Cassette to Cassette Transfer * Approximately 34 Second Transfer</t>
  </si>
  <si>
    <t xml:space="preserve">103002</t>
  </si>
  <si>
    <t xml:space="preserve">FEI</t>
  </si>
  <si>
    <t xml:space="preserve">200XP</t>
  </si>
  <si>
    <t xml:space="preserve">Focus Ion Beam System</t>
  </si>
  <si>
    <t xml:space="preserve">Prelens Ion Column, 50mm Stage, 2 GIS, CDEM, Turbo Pumped. This versatile 
system is capable of 7nm image resolution. CE Marked. Prelens Ion Column 
50mm Four Axis Stage CDEM (Continous Dynode Electron Multiplier) Seconday 
Detector Gas Injection Systems (GIS). Pt Deposition, IEE(insulator enhanced 
etch), SCM (selective cabon milling) NB: GIS do not contain precursor 
materials Charge Neutralization System Turbo Pumped Vacuum System</t>
  </si>
  <si>
    <t xml:space="preserve">101622</t>
  </si>
  <si>
    <t xml:space="preserve">Expida 1255</t>
  </si>
  <si>
    <t xml:space="preserve">DUAL BEAM FIB w/MANUAL WAFER LOAD</t>
  </si>
  <si>
    <t xml:space="preserve">Tool in working condition and still installed.
Due for removal to storage at any time.
Generic Performance Specifications:-
A Dual Beam FIB-SEM system with the following characteristics:-
• FEG Electron column: Schottky FEG with through-the-lens detection
• E-beam characteristics: 5 nm, 1–30 kV
• Magnum ion column, Ga 69/71 LMIS, with below lens detection
• I-beam: 7 nm, 5–30 kV
• Windows OS and FEI UI
• Five-axis motorized stage
• XYZ stage movement: 305 x 305 x 12 mm
• Stage Tilt: – 5° to + 60°, Rotation:  n x 360°
• Single wafer load drawer for 300mm, 200mm wafers or pieces
• Chamber scope for real time observation
• Gas Injection System (GIS): Can accomodate up to Max 4 injectors
• Vacuum System, oil free with air cooled Turbo, IGP x 3 &amp; dry PVP
Other Options Available :
• GIS chemistries
• Plasma Cleaner
• Omniprobe for lamella extraction
• EDX
Details Build Configuration of this machine :-
Part. No.
Description
Quantity
4022 264 95571
Expidia 1255S
1
4022 264 03752
Nanolift w/ Omniprobe 200.2
1
4022 262 21921
Parts Holder
1
28080
EDS Analysis Interface Kit
1
4035 272 15531
AutoFIB Software
1
4035 273 10161
Edwards iGX100N 200-230 V
1
4035 272 65071
Optical Microscope (Integrated)
1
UserCamelot
User-provided Camelot Solution
1
27047
FEI-Camelot Interface (xP)
1
4035 272 27581
FEI-Navigator Software, ver. 7.4
1
4035 272 36061
Insulator Deposition III (IDep III, HMCHS)
1
4022 260 05741
Platinum Deposition (Pt)
1
4022 260 05771
Insulator Enhanced Etch (XeF2, IEE)
1</t>
  </si>
  <si>
    <t xml:space="preserve">91392</t>
  </si>
  <si>
    <t xml:space="preserve">FEM2010F </t>
  </si>
  <si>
    <t xml:space="preserve">Dual Beam FIB-SEM</t>
  </si>
  <si>
    <t xml:space="preserve">101711</t>
  </si>
  <si>
    <t xml:space="preserve">Helios 450S</t>
  </si>
  <si>
    <t xml:space="preserve">99400</t>
  </si>
  <si>
    <t xml:space="preserve">Quanta Inspect fp</t>
  </si>
  <si>
    <t xml:space="preserve">Tungsten filament SEM</t>
  </si>
  <si>
    <t xml:space="preserve">In working condition. Currently de-installed and warehoused. Inspection is 
available by appointment.
Inspect S
Resolution Accelerating Voltage Probe Current
High-vacuum 200V – 30kV up to 2μA – continuously adjustable
 3.0nm at 30kV (SE)
10nm at 3kV (SE)
4.0nm at 30kV (BSE)
3.0nm at 30kV (SE)
4.0nm at 30kV (BSE)
&lt; 12nm at 3kV (SE)
High-vacuum
Inspect F
0.8nm at 30kV (STEM) *
1.2nm at 30kV (SE)
2.5nm at 30kV (BSE) *
3.0nm at 1kV (SE)</t>
  </si>
  <si>
    <t xml:space="preserve">101712</t>
  </si>
  <si>
    <t xml:space="preserve">Strata 400</t>
  </si>
  <si>
    <t xml:space="preserve">Focused Ion Beam System</t>
  </si>
  <si>
    <t xml:space="preserve">100706</t>
  </si>
  <si>
    <t xml:space="preserve">Feutron</t>
  </si>
  <si>
    <t xml:space="preserve">KPK 200 Type 3423/16</t>
  </si>
  <si>
    <t xml:space="preserve">Climate Chamber</t>
  </si>
  <si>
    <t xml:space="preserve"> -40° C to +100°C, Humidity: 10% to 95% r.H., Programmable cycles, 
Air-cooled compressor-New, 2x Openings on the side (round),Viewing window 
heated,Chamber mobile on roles, Refurbished and checked, full functional
Configuration and pictures available upon request.
SOLD VIA PRIVATE TREATY BIDDING</t>
  </si>
  <si>
    <t xml:space="preserve">101823</t>
  </si>
  <si>
    <t xml:space="preserve">FICO</t>
  </si>
  <si>
    <t xml:space="preserve">MMS-I 102</t>
  </si>
  <si>
    <t xml:space="preserve">Molding System</t>
  </si>
  <si>
    <t xml:space="preserve">System Specification
•Used Fico MMS-I-102 complete refurbished;
•Board vacuum;
•Cavity vacuum;
•Vintage 2007;
•1 Press unit 60T;
•Number of strokes 49.000 only;
•Order No: 11873-53817;
•Parker hardware;
Please check pictures below for more information</t>
  </si>
  <si>
    <t xml:space="preserve">101843</t>
  </si>
  <si>
    <t xml:space="preserve">Filmetrics</t>
  </si>
  <si>
    <t xml:space="preserve">F50</t>
  </si>
  <si>
    <t xml:space="preserve">Thin Film Analyzer</t>
  </si>
  <si>
    <t xml:space="preserve">97853</t>
  </si>
  <si>
    <t xml:space="preserve">Fluke</t>
  </si>
  <si>
    <t xml:space="preserve">PM5139</t>
  </si>
  <si>
    <t xml:space="preserve">Function Generator</t>
  </si>
  <si>
    <t xml:space="preserve">102207</t>
  </si>
  <si>
    <t xml:space="preserve">FSI</t>
  </si>
  <si>
    <t xml:space="preserve">Antares</t>
  </si>
  <si>
    <t xml:space="preserve">Aerosol Clean Spray Processor</t>
  </si>
  <si>
    <t xml:space="preserve">102208</t>
  </si>
  <si>
    <t xml:space="preserve">clean tool</t>
  </si>
  <si>
    <t xml:space="preserve">102209</t>
  </si>
  <si>
    <t xml:space="preserve">Aries</t>
  </si>
  <si>
    <t xml:space="preserve">102210</t>
  </si>
  <si>
    <t xml:space="preserve">ORION</t>
  </si>
  <si>
    <t xml:space="preserve">Surface Preparation</t>
  </si>
  <si>
    <t xml:space="preserve">102211</t>
  </si>
  <si>
    <t xml:space="preserve">102212</t>
  </si>
  <si>
    <t xml:space="preserve">102213</t>
  </si>
  <si>
    <t xml:space="preserve">101710</t>
  </si>
  <si>
    <t xml:space="preserve">Polaris 2100</t>
  </si>
  <si>
    <t xml:space="preserve">Coater/Developer</t>
  </si>
  <si>
    <t xml:space="preserve">-with Nests 1-6
-Single FSI Robot
Please check pictures below for more information.</t>
  </si>
  <si>
    <t xml:space="preserve">90364</t>
  </si>
  <si>
    <t xml:space="preserve">Polaris 3500</t>
  </si>
  <si>
    <t xml:space="preserve">Mini Coater and Developer Track</t>
  </si>
  <si>
    <t xml:space="preserve">300 MM / 200 mm</t>
  </si>
  <si>
    <t xml:space="preserve">-De-installed: fully functional prior to de-installation.
-Warehoused
-Can be inspected by appointment
-Please refer to the attached photos for details
-one 200mm loadport and one 300mm Asyst loadport with 2 bake plates and 2 
chillers.
- Comes with spare Staubli/FSI RX 90B robot</t>
  </si>
  <si>
    <t xml:space="preserve">102621</t>
  </si>
  <si>
    <t xml:space="preserve">Titan</t>
  </si>
  <si>
    <t xml:space="preserve">Various (Spare Parts)</t>
  </si>
  <si>
    <t xml:space="preserve">60</t>
  </si>
  <si>
    <t xml:space="preserve">P/N 	DESIGNATION 	QTY
SM312-PP-MHS 	Sentinel Opto Sensor 	1
203-3414-215 	3-Way Valve 	1
  	Reducer (Proteus?) 3/4F-1/2M 	1
XS612B1MAL10 	capteur capacitif Télémécanique 	2
W92-X112-1 	Breaker Potter &amp; Brumfield, 2 phases, 277 Vac, 1A 	1
607 10E 0 15 A0 	Manual Valve GEMÜ PTFE 	1
501042-001 	Rotary Union 	1
300479-005 	Nut, PFA 	1
240311-264 	Diode 	1
300858-004 	PFA screw 	2
9001 80001H 	Motor Speed Control 	1
403037-001 	Turntable Cap Hub, PFA 	3
HS03L7F00B 	Cylinder Numatech 	1
300541-001 	Door Interlock 	2
L60030M-1C 	600 V, 3 A, 3 ph, molded-case fuse blocks Littelfuse 	1
402869-001 	Code Wheel Indexing 	1
  	N2 Filter Millipack 100, 0.22µ 	2
100-018 	Pathfinder Flowmetter 	1
100-0045 	Pathfinder Flowmetter 	2
100-006 	Pathfinder Flowmetter (looks new part) 	1
118-030 	Pathfinder Flowmetter (looks new part) 	1
  	SRAM Reader 	1
301740-006 	Motor Belt polyurethane, 4501845171 	5
XPML16P9-2 	DC Motor Brushes, Boston 	7
230240-001 	Motor DC Brush 	1
6205-2RSH 	Bearing 25x52, SKF Explorer 	2
914233-001 	Tight Seal 	1
300669-001 	Needle Valve 	1
403627-001 	Bowl Gasket 	3
300038-116 	O-Ring Viton 70D 	81
300038-153 	O-Ring Viton 70D 88,57x2,62 	12
300038-238 	O-Ring Viton 70D (88,49X3,53) for DIW Filter 	6
300919-153 	O-Ring Teflon, encapsuled 	2
300919-111 	O-Ring Teflon, encapsuled 	1
230029-005 	Pressure Switch 20 psi 	1
400598-001 	Turntable nozzle 	6
400597-001 	Spraypost nozzle 	35
  	Pressure Switch, ITT Neo-Dyn 115P1C3-358 	1
300555-001 	Cylinder for cover lock, BIMBA PC-1713-DXPG 	2
300433-001 	Tank, Expansion Proteus 	1
300753-002 	Pump, Recirculation 	1
400879-003 	Upper Cover + Blanket Heater 	1
400883-001 	Blanket Heater 	3
900875-001 	Titan Spray Post Assy 	1
  	Hexagonal wrench with long arm 	2
400879-003 	Upper Cover + Blanket Heater 	1
901070 D 	Turntable 6", Halar coated 	2
301740-006 	Motor Belt polyurethane, 4501845171 	3
  	SRAM Reader 	1
901020-001 	Motor Speed Sensor, Nortech N-42-99, job 39976-001 	1
  	Turntable Gear Assy 	1
290017-200 	I/O Board (modified without Voltage Regulator 7805) 	1
290020-400 	Printed Circuit Board (modified without Voltage Regulator 7805) 	
1
290020-? 	Printed Circuit Board (modified without Voltage Regulator 7805) 	
1
290077-400 	Interface Board (modified without Voltage Regulator 7805) 	1
290055-400 	CPU Board (modified without Voltage Regulator 7805) 	1
290019-400 	Unknown Board (Power Supply?) 	1
900331-001 	2800 Process Controller (complete, should be functionnal) 	1
ESK 	Proteus Temperature Controller, OMRON 	1
9001 80001H 	Motor Speed Control 	4
KW315 	Sentinel Bracket 	1</t>
  </si>
  <si>
    <t xml:space="preserve">75296</t>
  </si>
  <si>
    <t xml:space="preserve">FSI *</t>
  </si>
  <si>
    <t xml:space="preserve">Mercury MP *</t>
  </si>
  <si>
    <t xml:space="preserve">Acid Spray Process</t>
  </si>
  <si>
    <t xml:space="preserve">FSI Mercury MP *,
-8 inch,
-Software Rev. 11.013,
-CPU 586,
-2nd CE Marked,
-Process Console, 
-2 Canister Consoles,
-6 Chemicals,
-DI-MIX Option,
-4 Chemical Drains (1 x N.O., 3 x N.C. Drains),
-IR-All Chemical Heater incl. By-Pass Option,
-Helios52 DI Water Heater,
-Vibration Sensor,
-SBSP,
-SBTP,
-Drip Pans for 2 Canister Consoles, Process Console and DI-Helios,
-Autofill Option 6 Chemicals,
-Single Exhaust,
-3PH, 380 V,
-All Docs on CD-Rom.
Chemical Configuration:
H2SO4        600-900 cc/min
HCL        30-300 cc/min
NH4OH100        15-300 cc/min
HF            30-300 cc/min
NH4OH        30-300 cc/min
H2O2        30-300 cc/min
DI-Mix        1000-2000 cc/min
  *Trade Marks of FSI International Inc. SDI is not an authorized reseller 
of these products.</t>
  </si>
  <si>
    <t xml:space="preserve">90156</t>
  </si>
  <si>
    <t xml:space="preserve">FSM</t>
  </si>
  <si>
    <t xml:space="preserve">500TC</t>
  </si>
  <si>
    <t xml:space="preserve">THIN FILM STRESS MEASUREMENT</t>
  </si>
  <si>
    <t xml:space="preserve">102957</t>
  </si>
  <si>
    <t xml:space="preserve">AQUAFLEX</t>
  </si>
  <si>
    <t xml:space="preserve">4-POINT BENDING</t>
  </si>
  <si>
    <t xml:space="preserve">90155</t>
  </si>
  <si>
    <t xml:space="preserve">FSM 500TC</t>
  </si>
  <si>
    <t xml:space="preserve">101829</t>
  </si>
  <si>
    <t xml:space="preserve">FUJI</t>
  </si>
  <si>
    <t xml:space="preserve">XP243E</t>
  </si>
  <si>
    <t xml:space="preserve">Compact Multi-Functional SMT Mounter</t>
  </si>
  <si>
    <t xml:space="preserve">101828</t>
  </si>
  <si>
    <t xml:space="preserve">pick and place</t>
  </si>
  <si>
    <t xml:space="preserve">92022</t>
  </si>
  <si>
    <t xml:space="preserve">Fusion</t>
  </si>
  <si>
    <t xml:space="preserve">M150PC</t>
  </si>
  <si>
    <t xml:space="preserve">UV Bake (For spares Use)</t>
  </si>
  <si>
    <t xml:space="preserve">-Fusion M150 PC for spares use.
-See attached photos for details.
-The following PCBs are also included:-
U069
Fusion
241122
Pressure Control Panel
L165
Fusion
249181
Dual Cassette Handle PCB
N747
Fusion
249181
PWB Assy. Dual Cassette Handler PCB
D271
Fusion
313952
Dual Serial Interface PCB
S540
Fusion
269162 Rev F
150 PC Interface w/ ISO/SEC-11
O822
Fusion
M150
Indexer</t>
  </si>
  <si>
    <t xml:space="preserve">102215</t>
  </si>
  <si>
    <t xml:space="preserve">M150PCU</t>
  </si>
  <si>
    <t xml:space="preserve">Lithography</t>
  </si>
  <si>
    <t xml:space="preserve">102216</t>
  </si>
  <si>
    <t xml:space="preserve">102217</t>
  </si>
  <si>
    <t xml:space="preserve">96543</t>
  </si>
  <si>
    <t xml:space="preserve">Gaertner</t>
  </si>
  <si>
    <t xml:space="preserve">L115C-8</t>
  </si>
  <si>
    <t xml:space="preserve">Ellipsometer, cassette to cassette</t>
  </si>
  <si>
    <t xml:space="preserve">-In good condition.
-With wafer handler, and computer with Windows NT 3.51
-See attached photos for details.</t>
  </si>
  <si>
    <t xml:space="preserve">88030</t>
  </si>
  <si>
    <t xml:space="preserve">GAIN</t>
  </si>
  <si>
    <t xml:space="preserve">G50H13P</t>
  </si>
  <si>
    <t xml:space="preserve">88031</t>
  </si>
  <si>
    <t xml:space="preserve">M50H13P</t>
  </si>
  <si>
    <t xml:space="preserve">99414</t>
  </si>
  <si>
    <t xml:space="preserve">GCA/Tropel</t>
  </si>
  <si>
    <t xml:space="preserve">9000</t>
  </si>
  <si>
    <t xml:space="preserve">Wafer Flatness Analyzer</t>
  </si>
  <si>
    <t xml:space="preserve">Fringe Sensitivity Range: 0.5 to 10.0 micrometers per fringe System 
Accuracy: 0.25 micrometers Maximum Test Area: 5.0 x 4.5 inches Maximum 
Resolution: 0.10 micrometers Tilt Adjustable Work Holders in 2 Dimensions: 
4” x 4”, 5” x 5” Photo plates 2” and 3” Wafers and Slices</t>
  </si>
  <si>
    <t xml:space="preserve">102218</t>
  </si>
  <si>
    <t xml:space="preserve">GEMETEC</t>
  </si>
  <si>
    <t xml:space="preserve">Elymat III</t>
  </si>
  <si>
    <t xml:space="preserve">WSPS</t>
  </si>
  <si>
    <t xml:space="preserve">101042</t>
  </si>
  <si>
    <t xml:space="preserve">Genmark</t>
  </si>
  <si>
    <t xml:space="preserve">AVR series</t>
  </si>
  <si>
    <t xml:space="preserve">Cleanroom Vacuum Robot</t>
  </si>
  <si>
    <t xml:space="preserve">Used for Lithography</t>
  </si>
  <si>
    <t xml:space="preserve">101043</t>
  </si>
  <si>
    <t xml:space="preserve">AVR series (1" 2L15")</t>
  </si>
  <si>
    <t xml:space="preserve">NEW.‐ AVR Vacuum Cleanroom Robot ‐ P/N 10130918490 ‐ SMALL Controller ‐ P/N 
9800107061 ‐ ELCO Cable ‐ P/N 910400014A ‐ Rev‐B ‐ Power Cable ‐ P/N 
010130095 ‐ Test &amp; Calibration Check List #28247 ‐ P/N 400‐200319002AVR ‐ 
Test &amp; Calibration Tests Duration Check List #28247 ‐ P/N 400‐200300010 ‐ 
AVR Reference Manual (CD) ‐ P/N 080010021 ‐ Controller Reference Manual 
(CD) ‐ P/N 080010043 ‐ Firmware (CD). Version GB6S‐5.07. Calibration #28247 
‐ O‐ring P/N 050200120 ‐ Screws: 4‐40 X 1/2, SCHD C/S SS ‐ P/N 050010090</t>
  </si>
  <si>
    <t xml:space="preserve">98463</t>
  </si>
  <si>
    <t xml:space="preserve">GB4/3L</t>
  </si>
  <si>
    <t xml:space="preserve">atmospheric wafer handling robot</t>
  </si>
  <si>
    <t xml:space="preserve">98464</t>
  </si>
  <si>
    <t xml:space="preserve">GB8-MT-80050102</t>
  </si>
  <si>
    <t xml:space="preserve">Single arm Atmospheric wafer handling robot</t>
  </si>
  <si>
    <t xml:space="preserve">Deinstalled, warehoused. Can be inspected by appointment
Please check pictures below for more information.</t>
  </si>
  <si>
    <t xml:space="preserve">101044</t>
  </si>
  <si>
    <t xml:space="preserve">Gencobot 9 GPR series</t>
  </si>
  <si>
    <t xml:space="preserve">Used for Lithography. ‐ GB9 GPR Vacuum Robot ‐ SMALL Controller ‐ P/N 
98000106841 ‐ 2 ELCO Cables ‐ P/N 910500016 ‐ Power Cable ‐ P/N 010130095 ‐ 
Test &amp; Calibration Check List #21064 ‐ P/N 400‐200319002_GB9 Rev. 1 ‐ Test 
&amp; Calibration Tests Duration Check List #21064 ‐ P/N 400‐200300010 Rev. 1 ‐ 
Gencobot 9 GPR Series Reference Manual ‐ P/N 080010022 ‐ Controller 
Reference Manual ‐ P/N 080010043 ‐ Firmware (Diskette). Version GB9‐5.06. 
Calibration #21064 ‐ O‐ring Large ‐ P/N 050200079</t>
  </si>
  <si>
    <t xml:space="preserve">101045</t>
  </si>
  <si>
    <t xml:space="preserve">GPR series</t>
  </si>
  <si>
    <t xml:space="preserve">Cleanroom Vacuum Elevator</t>
  </si>
  <si>
    <t xml:space="preserve">Used for Lithography. ‐ GPR Vacuum Elevator ‐ SMALL Controller ‐ P/N 
9800107111 ‐ ELCO Cable ‐ P/N 910500016 ‐ Power Cable ‐ P/N 010130095 ‐ 
Test &amp; Calibration Check List #23739 ‐ P/N 400‐200319002_GB4S Rev. 2 ‐ Test 
&amp; Calibration Tests Duration Check List ‐ P/N 400‐200300010 Rev. 2 ‐ GPR 
Series Reference Manual Rev. 1.0 (Oct. 2003) ‐ P/N 080010038 ‐ Firmware 
(CD). Version GB3Z‐1.01. Calibration #23739 ‐ O‐ring</t>
  </si>
  <si>
    <t xml:space="preserve">92433</t>
  </si>
  <si>
    <t xml:space="preserve">GSI</t>
  </si>
  <si>
    <t xml:space="preserve">M435</t>
  </si>
  <si>
    <t xml:space="preserve">89037</t>
  </si>
  <si>
    <t xml:space="preserve">Laser fuser</t>
  </si>
  <si>
    <r>
      <rPr>
        <sz val="8"/>
        <rFont val="Arial"/>
        <family val="0"/>
        <charset val="1"/>
      </rPr>
      <t xml:space="preserve">-The equipment is currently located in an inspection facility, and a 
power-up inspection is possible
LASER SUBSYSTEM
***************
-IPG FIBER TYPE LASER
-1.065 um WAVELENGTH
-1.5 um spot size
-50 KHz repetition rate
-The laser has been used for 8350 hours
WAFER HANDLER SUBSYSTEM
***********************
-2 x 300 mm cassettes with 25 wafers per cassette
-Wafer sensing with presence, absence, cross/double slotted, protruding
-Wafer ID: top / bottom OCR, 2D matrix and barcode recognition
COMPUTER
********
SUN BLADE
UNIX O/S
S/W version installed: R9.8
STANDARDS COMPLIANCE
********************
-CE MARK
-SEMI S8-1000
-SEMI S2-0200
-CDRH
Crate No
</t>
    </r>
    <r>
      <rPr>
        <sz val="8"/>
        <rFont val="Noto Sans CJK SC"/>
        <family val="2"/>
        <charset val="1"/>
      </rPr>
      <t xml:space="preserve">品 名 </t>
    </r>
    <r>
      <rPr>
        <sz val="8"/>
        <rFont val="Arial"/>
        <family val="0"/>
        <charset val="1"/>
      </rPr>
      <t xml:space="preserve">/ </t>
    </r>
    <r>
      <rPr>
        <sz val="8"/>
        <rFont val="Noto Sans CJK SC"/>
        <family val="2"/>
        <charset val="1"/>
      </rPr>
      <t xml:space="preserve">規 格</t>
    </r>
    <r>
      <rPr>
        <sz val="8"/>
        <rFont val="Arial"/>
        <family val="0"/>
        <charset val="1"/>
      </rPr>
      <t xml:space="preserve">/ CONTENTS
Dimensions in cm
G/W
(KG)
</t>
    </r>
    <r>
      <rPr>
        <sz val="8"/>
        <rFont val="Noto Sans CJK SC"/>
        <family val="2"/>
        <charset val="1"/>
      </rPr>
      <t xml:space="preserve">長
寬
高
</t>
    </r>
    <r>
      <rPr>
        <sz val="8"/>
        <rFont val="Arial"/>
        <family val="0"/>
        <charset val="1"/>
      </rPr>
      <t xml:space="preserve">B2-1
GSI M435, S/NO: 0001388, Wafer Transfer Module
173
165
218
680
B2-2
GSI M435, S/NO: 0001388, Main Body
168
168
193
2268
B2-3
GSI M435, S/NO: 0001338, Power Cabinet &amp; Chair
168
122
137
154
B2-4
GSI M435, S/NO: 0001338, MISC
168
122
137
188</t>
    </r>
  </si>
  <si>
    <t xml:space="preserve">75404</t>
  </si>
  <si>
    <t xml:space="preserve">GSI LUMONICS</t>
  </si>
  <si>
    <t xml:space="preserve">435</t>
  </si>
  <si>
    <t xml:space="preserve">Number of hours: 8350
-For specifications, please refer to the attached image.
-IPG laser type
-1.5 um spot size
-50KHz rep rate
- 2 x 25 wafer 300 mm cassettes
-The equipment is currently de-installed, and it is in an inspection 
facility.</t>
  </si>
  <si>
    <t xml:space="preserve">101682</t>
  </si>
  <si>
    <t xml:space="preserve">GSI Lumonics</t>
  </si>
  <si>
    <t xml:space="preserve">SigmaClean</t>
  </si>
  <si>
    <t xml:space="preserve">Laser Marking System</t>
  </si>
  <si>
    <t xml:space="preserve">101339</t>
  </si>
  <si>
    <t xml:space="preserve">WaferMark II</t>
  </si>
  <si>
    <t xml:space="preserve">101340</t>
  </si>
  <si>
    <t xml:space="preserve">Wafermark II</t>
  </si>
  <si>
    <t xml:space="preserve">97854</t>
  </si>
  <si>
    <t xml:space="preserve">GW Instek</t>
  </si>
  <si>
    <t xml:space="preserve">GPC-3030D</t>
  </si>
  <si>
    <t xml:space="preserve">DC Power supply</t>
  </si>
  <si>
    <t xml:space="preserve">97855</t>
  </si>
  <si>
    <t xml:space="preserve">97856</t>
  </si>
  <si>
    <t xml:space="preserve">97857</t>
  </si>
  <si>
    <t xml:space="preserve">97858</t>
  </si>
  <si>
    <t xml:space="preserve">GPC-3030DQ</t>
  </si>
  <si>
    <t xml:space="preserve">103003</t>
  </si>
  <si>
    <t xml:space="preserve">Hamatech</t>
  </si>
  <si>
    <t xml:space="preserve">104180</t>
  </si>
  <si>
    <t xml:space="preserve">Automatic Reticle Cleaner</t>
  </si>
  <si>
    <t xml:space="preserve">Up to 6.5 inch square</t>
  </si>
  <si>
    <t xml:space="preserve">Manual Load Automatic Substrate Cleaner Process Chamber Clean room class 
100 Substrate size: 6.5" X 6.5" Max Nozzels for bottom side rinse Nozzels 
for chamber rinse Swing arm for hi-pressure DI water and micro strip spray 
Swing arm for acid spray Nozzels for DI water and hydrogen peroxide spray 
Media Used in Processing DI Water Sulphuric acid Hydrogen peroxide N2 and 
DI water for rinsing Media Supply Module Media pumps Media filters Media 
pressure tanks for detergent and microclean Auxiliary Rack Ionization unit 
Circulating heater Water circut pressure booster pump High pressure pump 
Electronics Cabinet Tool industrial computer Hamatech control modules Motor 
controllers Temp. controller Power supply Power transformer</t>
  </si>
  <si>
    <t xml:space="preserve">102958</t>
  </si>
  <si>
    <t xml:space="preserve">HELLER</t>
  </si>
  <si>
    <t xml:space="preserve">1808EXL</t>
  </si>
  <si>
    <t xml:space="preserve">REFLOW OVEN</t>
  </si>
  <si>
    <t xml:space="preserve">97859</t>
  </si>
  <si>
    <t xml:space="preserve">HERMES</t>
  </si>
  <si>
    <t xml:space="preserve">NMI-100</t>
  </si>
  <si>
    <t xml:space="preserve">DEFECT INSPECTION </t>
  </si>
  <si>
    <t xml:space="preserve">102219</t>
  </si>
  <si>
    <t xml:space="preserve">Hermes Microvision</t>
  </si>
  <si>
    <t xml:space="preserve">eP3 XP</t>
  </si>
  <si>
    <t xml:space="preserve">E-Beam Inspection System</t>
  </si>
  <si>
    <t xml:space="preserve">102220</t>
  </si>
  <si>
    <t xml:space="preserve">eP4</t>
  </si>
  <si>
    <t xml:space="preserve">CFM_EBeam Inspection HMI</t>
  </si>
  <si>
    <t xml:space="preserve">102221</t>
  </si>
  <si>
    <t xml:space="preserve">eScan500</t>
  </si>
  <si>
    <t xml:space="preserve">ebeam Inspection</t>
  </si>
  <si>
    <t xml:space="preserve">102222</t>
  </si>
  <si>
    <t xml:space="preserve">EBeam Inspection_HMI</t>
  </si>
  <si>
    <t xml:space="preserve">100937</t>
  </si>
  <si>
    <t xml:space="preserve">Hesse &amp; Knipps</t>
  </si>
  <si>
    <t xml:space="preserve">BJ 820</t>
  </si>
  <si>
    <t xml:space="preserve">Inidexersystem</t>
  </si>
  <si>
    <t xml:space="preserve">Warehoused. Please check pictures below for more information.
SOLD VIA PRIVATE TREATY BIDDING</t>
  </si>
  <si>
    <t xml:space="preserve">77035</t>
  </si>
  <si>
    <t xml:space="preserve">Bondjet 710M</t>
  </si>
  <si>
    <t xml:space="preserve">Wedge/Wedge Wire Bonder</t>
  </si>
  <si>
    <t xml:space="preserve">Hesse&amp;Knipps Bondjet 710. You can see that all lamps are ready and so the 
machine is functional. Also you can see the complete machine in very good 
condition.    </t>
  </si>
  <si>
    <t xml:space="preserve">102959</t>
  </si>
  <si>
    <t xml:space="preserve">HIMS</t>
  </si>
  <si>
    <t xml:space="preserve">102060</t>
  </si>
  <si>
    <t xml:space="preserve">Hitachi</t>
  </si>
  <si>
    <t xml:space="preserve">6280H</t>
  </si>
  <si>
    <t xml:space="preserve">Control Rack Boards</t>
  </si>
  <si>
    <t xml:space="preserve">Boards:
CPU P/N 566-5504
ROM P/N 566-5503
INT/PTM 545-5504
MAG.ADJ. P/N 565-5506
RS232C P/N 545-5505
PANEL/IF 566-5346
C/G RAM P/N 566-5513
CRTC(T) P/N 545-5591
V-AMP (T) P/N 545-5596
NVMEM P/N 545-5598
SCAN CONT 545-5507
HV/LENS P/N 566-5510 LENS N P/N 566-5540</t>
  </si>
  <si>
    <t xml:space="preserve">102223</t>
  </si>
  <si>
    <t xml:space="preserve">AS5000</t>
  </si>
  <si>
    <t xml:space="preserve">Wafer Particle &amp; Defect Analysis System AS-5000</t>
  </si>
  <si>
    <t xml:space="preserve">101713</t>
  </si>
  <si>
    <t xml:space="preserve">CG-4000 2 LP</t>
  </si>
  <si>
    <t xml:space="preserve">SEM</t>
  </si>
  <si>
    <t xml:space="preserve">101714</t>
  </si>
  <si>
    <t xml:space="preserve">CG-4000 3LP</t>
  </si>
  <si>
    <t xml:space="preserve">102699</t>
  </si>
  <si>
    <t xml:space="preserve">CG-4100</t>
  </si>
  <si>
    <t xml:space="preserve">SEM - Critical Dimension (CD)</t>
  </si>
  <si>
    <t xml:space="preserve">HITACHI CG4100 Hard Disk Drive will be removed from tool.Other missing or 
damaged parts: none.SW Version:35.47Resolution:1.8nmthroughput:42wafer/hMAM 
Time:2.8secStage Landing Accuracy:±1μm</t>
  </si>
  <si>
    <t xml:space="preserve">101623</t>
  </si>
  <si>
    <t xml:space="preserve">HITACHI</t>
  </si>
  <si>
    <t xml:space="preserve">CG4000</t>
  </si>
  <si>
    <t xml:space="preserve">CD SEM, Copper Tool</t>
  </si>
  <si>
    <t xml:space="preserve">103088</t>
  </si>
  <si>
    <t xml:space="preserve">CG5000</t>
  </si>
  <si>
    <t xml:space="preserve">SEM  </t>
  </si>
  <si>
    <t xml:space="preserve"> 1.CG5000 (3PORT,300mm Wafer Use, AC208V/60Hz) 1.Main Unit 
2.Mini-Environment transfer system 3.New Type C to C Auto-Loader with 
Load/Lock System 4.E-chuck Stage System 5.Display Unit 6.Power Supply Unit 
7.Water Circulator with power cable and pipe 8.Optical Microscope (x110, 
x220) 9.Ion pump back-up Power supply unit 10.SE-Gun Back-up Power supply 
unit 11.Power cable (I5M:Main&lt;-&gt;PS) 12.Electrified Sample Correction (SPM) 
13.Auto calibration system by using stub pattern 14.Multi-Point/Gap/Corner 
Radious measurement function 15.Image filing function 16.Recipe Queue 
17.ArF Package software 2.Std. Accessories(Hardware) 1.3* TDK FOUP Opener 
(including RFID) 2.Dry Pump Interface for Boc Edwards iGXl00 3.Signal Light 
Tower 4.Light Curtain 5.X, Y Dual Microscale 6.Energy filter 7.Ioniser 
3.Std. Accessories(Software) 1.New Edge Roughness Measurement 2.DS/T-PC 
Link Connection License 3.Line Width roughness analysis function 4.Flat 
scan function 5.MaximumMag.To500K 6.GEM Communication I/F 7.HSMS 
Communication I/F 8.GEM 300 / HSMS /SECS 9.SECS Communication I/F 10.CD 
Data Transfer at CG5000 (um-&gt;nm) 11.Measurement Image Upload function 
(using FTP) 12.FDC function 13.Lowest Vacc 200V modification 14.Highest 
Vacc 5000V modification 15.Flexible scan function 16.Self alignment double 
pattern measurement function 17.Template generator function 4.Shield cover 
for CG5000 The following items are NOT included. • HARC observation 
function (Pre-Dose,Optics modification) • KRF Defect review Network 1/F</t>
  </si>
  <si>
    <t xml:space="preserve">103089</t>
  </si>
  <si>
    <t xml:space="preserve">CG5000 (3PORT,300mm Wafer Use, AC208V/60Hz)Main UnitMini-Environment 
transfer systemNew Type C to C Auto-Loader with Load/Lock SystemE-chuck 
Stage SystemDisplay UnitPower Supply UnitWater Circulator with power cable 
and pipeOptical Microscope (xl 10, x220)Ion pump back-up Power supply 
unitSE-Gun Back-up Power supply unitPower cable (I5M:Main&lt;-&gt;PS)Electrified 
Sample Correction (SPM)Auto calibration system by using stub 
patternMulti-Point/Gap/Corner Radious measurement functionImage filing 
functionRecipe QueueArF Package softwareStd. Accessories(Hardware)3* TDK 
FOUP Opener (including RFID)Dry Pump Interface for Boe Edwards iGXl00Signal 
Light Tower (Hynix Spec)*Detail spec is same as existing CG5000 at MIO. 
Light CurtainX, Y Dual MicroscaleEnergy filterIoniserStd. 
Accessories(Software)New Edge Roughness MeasurementDS/T-PC Link Connection 
LicenceLine Width roughness analysis functionFlat scan 
functionMaximumMag.To500KGEM Communication 1/FHSMS Communication 1/FHynix 
Spec GEM 300 I HSMS /SECSSECS Communication I/FCD Data Transfer at CG5000 
(um-&gt;nm)Measurement Image Upload function (using FTP) FDC functionLowest 
Yacc 200Y modificationHighest Yacc 5000Y modificationFlexible scan 
functionSelf alignment double pattern measurement functionTemplate 
generator functionEnvironment Test FeeShield cover for CG5000 - The 
following items are NOT included. • HARC observation function 
(Pre-Dose,Optics modification) • KRF Defect review Network 1/F</t>
  </si>
  <si>
    <t xml:space="preserve">102960</t>
  </si>
  <si>
    <t xml:space="preserve">CM-700</t>
  </si>
  <si>
    <t xml:space="preserve">DIE BONDER</t>
  </si>
  <si>
    <t xml:space="preserve">102961</t>
  </si>
  <si>
    <t xml:space="preserve">102962</t>
  </si>
  <si>
    <t xml:space="preserve">102963</t>
  </si>
  <si>
    <t xml:space="preserve">78854</t>
  </si>
  <si>
    <t xml:space="preserve">CM-700H</t>
  </si>
  <si>
    <t xml:space="preserve">BONDER</t>
  </si>
  <si>
    <t xml:space="preserve">Deinstalled, Warehoused. Can be inspected by appointment.-
The bonder is in working condition.
A video of one of the bonders we have for sale running initialization can 
be seen at the following web location:
&lt;https://youtu.be/bQ_W3N07v6c&gt;</t>
  </si>
  <si>
    <t xml:space="preserve">83744</t>
  </si>
  <si>
    <t xml:space="preserve">83745</t>
  </si>
  <si>
    <t xml:space="preserve">87649</t>
  </si>
  <si>
    <t xml:space="preserve">80339</t>
  </si>
  <si>
    <t xml:space="preserve">DIE Bonder</t>
  </si>
  <si>
    <t xml:space="preserve">102964</t>
  </si>
  <si>
    <t xml:space="preserve">CM-700H </t>
  </si>
  <si>
    <t xml:space="preserve">88396</t>
  </si>
  <si>
    <t xml:space="preserve">CM700</t>
  </si>
  <si>
    <t xml:space="preserve">102524</t>
  </si>
  <si>
    <t xml:space="preserve">CM700X</t>
  </si>
  <si>
    <t xml:space="preserve">102525</t>
  </si>
  <si>
    <t xml:space="preserve">97860</t>
  </si>
  <si>
    <t xml:space="preserve">DB700SM</t>
  </si>
  <si>
    <t xml:space="preserve">97861</t>
  </si>
  <si>
    <t xml:space="preserve">95998</t>
  </si>
  <si>
    <t xml:space="preserve">EDAX 136-5</t>
  </si>
  <si>
    <t xml:space="preserve">Energy Dispersive X-ray Spectrometer</t>
  </si>
  <si>
    <t xml:space="preserve">Laboratory and Scientific</t>
  </si>
  <si>
    <t xml:space="preserve">95934</t>
  </si>
  <si>
    <t xml:space="preserve">HD-2300</t>
  </si>
  <si>
    <t xml:space="preserve">Scanning Transmission Electron Microscope</t>
  </si>
  <si>
    <t xml:space="preserve">De-installed, warehoused. Please refer to attached photos for condition.</t>
  </si>
  <si>
    <t xml:space="preserve">101715</t>
  </si>
  <si>
    <t xml:space="preserve">HD-2300 </t>
  </si>
  <si>
    <t xml:space="preserve">STEM</t>
  </si>
  <si>
    <t xml:space="preserve">102224</t>
  </si>
  <si>
    <t xml:space="preserve">HD2300</t>
  </si>
  <si>
    <t xml:space="preserve">102225</t>
  </si>
  <si>
    <t xml:space="preserve">HF-2000</t>
  </si>
  <si>
    <t xml:space="preserve">EDX/EELs/STEM imaging</t>
  </si>
  <si>
    <t xml:space="preserve">91395</t>
  </si>
  <si>
    <t xml:space="preserve">I-6300</t>
  </si>
  <si>
    <t xml:space="preserve">CD SEM</t>
  </si>
  <si>
    <t xml:space="preserve">97862</t>
  </si>
  <si>
    <t xml:space="preserve">I6300</t>
  </si>
  <si>
    <t xml:space="preserve">E-BEAM</t>
  </si>
  <si>
    <t xml:space="preserve">102226</t>
  </si>
  <si>
    <t xml:space="preserve">IS2700</t>
  </si>
  <si>
    <t xml:space="preserve">Dark Field inspection</t>
  </si>
  <si>
    <t xml:space="preserve">91396</t>
  </si>
  <si>
    <t xml:space="preserve">IS2700SE</t>
  </si>
  <si>
    <t xml:space="preserve">91397</t>
  </si>
  <si>
    <t xml:space="preserve">102965</t>
  </si>
  <si>
    <t xml:space="preserve">IS3000</t>
  </si>
  <si>
    <t xml:space="preserve">DARK FIELD</t>
  </si>
  <si>
    <t xml:space="preserve">95361</t>
  </si>
  <si>
    <t xml:space="preserve">DARK FIELD INSPECTION</t>
  </si>
  <si>
    <t xml:space="preserve">Available for purchase via closed bidding. De-installed and warehoused. 
Inspection date: 22nd Apr 2019. Bid submission within 2nd May 2019.</t>
  </si>
  <si>
    <t xml:space="preserve">91398</t>
  </si>
  <si>
    <t xml:space="preserve">IS3000E</t>
  </si>
  <si>
    <t xml:space="preserve">High Speed Dark Field inspection</t>
  </si>
  <si>
    <t xml:space="preserve">91399</t>
  </si>
  <si>
    <t xml:space="preserve">91400</t>
  </si>
  <si>
    <t xml:space="preserve">91401</t>
  </si>
  <si>
    <t xml:space="preserve">91402</t>
  </si>
  <si>
    <t xml:space="preserve">101716</t>
  </si>
  <si>
    <t xml:space="preserve">Regulus SU-8230</t>
  </si>
  <si>
    <t xml:space="preserve">FE SEM</t>
  </si>
  <si>
    <t xml:space="preserve">98269</t>
  </si>
  <si>
    <t xml:space="preserve">RS 4000</t>
  </si>
  <si>
    <t xml:space="preserve">98270</t>
  </si>
  <si>
    <t xml:space="preserve">91006</t>
  </si>
  <si>
    <t xml:space="preserve">RS 5500</t>
  </si>
  <si>
    <t xml:space="preserve">De-installed, warehoused. Inspection is available by appointment.
This defect review station provides high speed and high accuracy SEM 
imaging of inspected defects for 65nm and even 45nm device manufacturing.
A Defect Review SEM is a Scanning Electron Microscope (SEM) that is 
configured to review defects found on a wafer. A defect detected by a 
semiconductor wafer defect inspection system is enlarged using an Review 
SEM to a high magnification image so that it can be reviewed and 
classified. A Defect Review SEM is mainly used together with the inspection 
systems in the production lines of semiconductors.
It works in the following way:
The Wafer defects are detected using an inspection system in advance.
The Inspection system lists position coordinates of the defects and outputs 
it into a file.
The inspected wafer and the file of the inspection result are loaded into 
the Review SEM.
The defect position is determined based on the position information from 
the defect list. Images of the defects are then taken and stored by the 
Review SEM.
Several thousand to several tens of thousand defects are detected using the 
inspection system, and the data is output into a file. Whether to review 
and to take photos of all or some of the defects can be specified in the 
operation settings of a recipe of the Review SEM.
Sometimes a defect on a wafer cannot be found using the position 
information in the defect data file. Because of various errors, it is not 
easy to find a defect using the position information alone.
In a defect inspection system, the defective image is compared with the 
adjacent die image (reference image) and the defect is detected due to the 
image difference (difference image processing).
The Review SEM, similar to the defect inspection system, detects the defect 
by comparison with the circuit pattern of the adjacent die and obtains the 
correct position of the defect. The defect is then moved to the center of 
the field of view and an enlarged photo is taken of it.
In the case of Memory IC's defect review, in which cell patterns are 
arranged repeatedly, the image of the minimum unit of a cell is registered 
as the reference image in advance. One method of detecting a defect on the 
Review SEM is to compare the image of the defect with the reference image 
using difference image processing. This method can speed up the defect 
detection on the Review SEM because multiple sections can be compared with 
the same reference image.
 </t>
  </si>
  <si>
    <t xml:space="preserve">102228</t>
  </si>
  <si>
    <t xml:space="preserve">RS4000</t>
  </si>
  <si>
    <t xml:space="preserve">Defect SEM inspection</t>
  </si>
  <si>
    <t xml:space="preserve">102227</t>
  </si>
  <si>
    <t xml:space="preserve">DR SEM</t>
  </si>
  <si>
    <t xml:space="preserve">102229</t>
  </si>
  <si>
    <t xml:space="preserve">102230</t>
  </si>
  <si>
    <t xml:space="preserve">102231</t>
  </si>
  <si>
    <t xml:space="preserve">102232</t>
  </si>
  <si>
    <t xml:space="preserve">102234</t>
  </si>
  <si>
    <t xml:space="preserve">S-4500</t>
  </si>
  <si>
    <t xml:space="preserve">Scanning Electron Microscope</t>
  </si>
  <si>
    <t xml:space="preserve">101717</t>
  </si>
  <si>
    <t xml:space="preserve">S-4700-II</t>
  </si>
  <si>
    <t xml:space="preserve">102966</t>
  </si>
  <si>
    <t xml:space="preserve">S-4800</t>
  </si>
  <si>
    <t xml:space="preserve">FE-SEM</t>
  </si>
  <si>
    <t xml:space="preserve">101718</t>
  </si>
  <si>
    <t xml:space="preserve">S-4800-II</t>
  </si>
  <si>
    <t xml:space="preserve">91403</t>
  </si>
  <si>
    <t xml:space="preserve">S-5000</t>
  </si>
  <si>
    <t xml:space="preserve">150 mm,200 mm</t>
  </si>
  <si>
    <t xml:space="preserve">91404</t>
  </si>
  <si>
    <t xml:space="preserve">91405</t>
  </si>
  <si>
    <t xml:space="preserve">91407</t>
  </si>
  <si>
    <t xml:space="preserve">91408</t>
  </si>
  <si>
    <t xml:space="preserve">102236</t>
  </si>
  <si>
    <t xml:space="preserve">S-5200</t>
  </si>
  <si>
    <t xml:space="preserve">SEM, Ultra High Resolution</t>
  </si>
  <si>
    <t xml:space="preserve">94459</t>
  </si>
  <si>
    <t xml:space="preserve">S-7800</t>
  </si>
  <si>
    <t xml:space="preserve">94460</t>
  </si>
  <si>
    <t xml:space="preserve">S-7800HSA</t>
  </si>
  <si>
    <t xml:space="preserve">103090</t>
  </si>
  <si>
    <t xml:space="preserve">S-9360</t>
  </si>
  <si>
    <t xml:space="preserve">SEM - Critical Dimension (CD) Measurement  </t>
  </si>
  <si>
    <t xml:space="preserve">The equipment already de-hookup and store in FAB temporary area.</t>
  </si>
  <si>
    <t xml:space="preserve">103091</t>
  </si>
  <si>
    <t xml:space="preserve">102237</t>
  </si>
  <si>
    <t xml:space="preserve">S-9380</t>
  </si>
  <si>
    <t xml:space="preserve">CDSEM</t>
  </si>
  <si>
    <t xml:space="preserve">98273</t>
  </si>
  <si>
    <t xml:space="preserve">S4700</t>
  </si>
  <si>
    <t xml:space="preserve">98272</t>
  </si>
  <si>
    <t xml:space="preserve">S4700-I</t>
  </si>
  <si>
    <t xml:space="preserve">91848</t>
  </si>
  <si>
    <t xml:space="preserve">S7000</t>
  </si>
  <si>
    <t xml:space="preserve">    * Cassette-to-Cassette Handling for 4”, 5” &amp; 6” Wafers
    * 100X ~ 100,000X Magnification
    * 0.1 ~ 200 µm Measurement Range
    * 15 nm Guaranteed (at 1 kV) Secondary Electron Image Resolution
    * ± 0.02 µm or ±1%, whichever is greater, Reproducibility
    * 0.7 ~ 3 kV (100 V/step)
    * Auto-Focus and Auto-Stigmation
    * Fully Automated CD Measurement
    * Fully Programmable Stage with up to 60° Tilt
    * Multi Point Measurement Capability</t>
  </si>
  <si>
    <t xml:space="preserve">91411</t>
  </si>
  <si>
    <t xml:space="preserve">S9260A</t>
  </si>
  <si>
    <t xml:space="preserve">De-installed, in an inspection facility. Can be inspected by appointment.
See attached photos showing the current condition. The equipment is 
currently set up for operation with 8 inch, open cassette loading.</t>
  </si>
  <si>
    <t xml:space="preserve">92027</t>
  </si>
  <si>
    <t xml:space="preserve">S9300</t>
  </si>
  <si>
    <t xml:space="preserve">200-300 mm</t>
  </si>
  <si>
    <t xml:space="preserve">Qty 4 of CD SEMSs available.
Sold "as is".
These sems can also be sold refurbished at an extra cost.
Plese refer to the attached photos for details.
Model: S-9300
Wafer Size: 200mm or 300mm
Electron Optical System:
Electron Gun: Schottky emission source
Accelerating Voltage: 500V to 1600V, 10V steps,
Probe current: 4~24pA
Electromagnetic Lens: 3-Stage Electromagnetic Lens System with boosting 
voltage
Objective aperture: 4-opening, click-stop, heated aperture is 
selectable/adjustable outside the vacuum
Scan Coil: 2-Stage Electromagnetic Deflection
Magnification = 1000X to &gt; 300,000X
Wafer Imaging Ability: Entire Surface of 12¡± wafer
Resolution: 3nm (800V)
Field of view: 1.2mm
Workstation: Model HP B180L (9GB)
O/S: HP-UX 10.20
Software ver 14.7
SECS/GEM communication interface
Dual XY Hitachi Microscale
DSP Image Processing
BSE Mode Functionality
Multipoint Measurement Function
Edge Roughness Function</t>
  </si>
  <si>
    <t xml:space="preserve">93085</t>
  </si>
  <si>
    <t xml:space="preserve">S9380 II</t>
  </si>
  <si>
    <t xml:space="preserve">96377</t>
  </si>
  <si>
    <t xml:space="preserve">De-installed, warehoused. Can be inspected by appointment.
See attached photos for details.
S/W version: V22.X3
Wafer loaders: 2 x TDK TAS 300
Loadport RFID reader type: Brooks TLG-RS232</t>
  </si>
  <si>
    <t xml:space="preserve">98275</t>
  </si>
  <si>
    <t xml:space="preserve">98813</t>
  </si>
  <si>
    <t xml:space="preserve">S9380-2</t>
  </si>
  <si>
    <t xml:space="preserve">102967</t>
  </si>
  <si>
    <t xml:space="preserve">SPA300-SUPER</t>
  </si>
  <si>
    <t xml:space="preserve">22</t>
  </si>
  <si>
    <t xml:space="preserve">102493</t>
  </si>
  <si>
    <t xml:space="preserve">55</t>
  </si>
  <si>
    <t xml:space="preserve">Manufacturer 	Model 	Description 	Quantity
Hitachi 	564-5501 	CHR. IF 	1
Hitachi 	  	TVME3900 	1
Hitachi 	  	M6642 REV. A / TE-C90060A 	1
Hitachi 	  	IS3000 CERAMIC FORK 	1
Hitachi 	560-5505 	LENS-PS Board 	1
Hitachi 	560-5530 	CQL-CN2 POWER RELAY PCB 	1
Hitachi 	568-5585 	SGTW LD PCB 	1
Hitachi 	  	TREK 40859 REV. A 	1
Hitachi 	9701-2143-01 	 Wafer Mapper ARM ASSY 	1
Hitachi 	85854346 REV. D 	SES Technologies VME Board 	1
Hitachi 	  	5-PHASE DRIVER / RKD514L-C 	6
Hitachi 	  	5-PHASE DRIVER / RKD507-A 	1
Hitachi 	  	5-PHASE DRIVER / DFR1507 	1
Hitachi 	  	5-PHASE DRIVER / DFR1514 	1
Hitachi 	  	NNS15-24 / DC24V 0.9A 	1</t>
  </si>
  <si>
    <t xml:space="preserve">97043</t>
  </si>
  <si>
    <t xml:space="preserve">SU 8010</t>
  </si>
  <si>
    <t xml:space="preserve">Ultra High Resolution Field Emission Scanning Electron Microscope</t>
  </si>
  <si>
    <t xml:space="preserve">Ultra High Resolution Field Emission Scanning Electron 
Microscope,resolution 1nm /15kV
Designed for ultra high resolution microscopy for use in fields such as 
semiconductors, electronics, catalysis and other functional materials, 
biotechnology and pharmaceuticals.
Ultra High Resolution FE-SEM has grown to be an indispensable tool to 
observe the fine surface structure of materials in a wide range of 
nanotechnology fields.The new SU8000 Series has excellent imaging 
performance throughout the range, and offers a variety of stages, chambers 
and signal detection systems to meet the wide variety of customer-specific 
needs for ultra high resolution microscopy.
The Su 8010 features a semi-in-lens type objective lens and a cold FE gun 
with a small energy spread. Signal mixing simultaneously using dual SE and 
BSE detectors is available by changing the voltage of the signal conversion 
electrode in the objective lens. A beam decelerator is also available to 
improve image quality and reduce damage to the sample.
100mm ( 4") diameter capacity 3 axis stage
upper and lower secondary electron detectors
Keithley single channel System source meter,D32 2635B
Options: Kleindeike probe, Electron Beam Induced Current option ( EBIC) for 
characterisation of electrical properties of semiconductor materials,sub 
surface electronic structure and defect analysis.
The unit has been lightly used in an R and D environment for 3-4 years, and 
then it has been professionally de-installed, and is currently in storage 
in the E. U.
The Unit can be inspected by appointment.
SE Detector
SE resolution
1.0nm(Vacc 15kV, WD = 4mm)
1.3nm (landing voltage 1kV, WD = 1.5mm)
Top detector
NO
Upper detector
YES
Lower detector
YES
Specimen Stage
Stage control
3-axis motor drive stage *5-axis motor drive stage (option)
Stage
Traverse
Range
X
0 ~ 50mm
Y
0 ~ 50mm
R
360°
T
-5 ~ 70°
Z
1.5 ~ 30mm
Max. sample size
100mm dia. *150mm dia. (Option)</t>
  </si>
  <si>
    <t xml:space="preserve">101719</t>
  </si>
  <si>
    <t xml:space="preserve">SU-1500</t>
  </si>
  <si>
    <t xml:space="preserve">102700</t>
  </si>
  <si>
    <t xml:space="preserve">U-702</t>
  </si>
  <si>
    <t xml:space="preserve">Dry Etcher – Metal</t>
  </si>
  <si>
    <t xml:space="preserve">Tool is operating in clean room.Shipping brackets and kits will need to be 
supplied by buyer.Buyer is responsible for disassembly and rigging for tool 
Hard Disk Drive will be removed from tool.</t>
  </si>
  <si>
    <t xml:space="preserve">102701</t>
  </si>
  <si>
    <t xml:space="preserve">Tool is operating in clean room.Hard Disk Drive will be removed from 
tool.Shipping brackets and kits will need to be supplied by buyer.Buyer is 
responsible for arranging disassembly and rigging for tool.</t>
  </si>
  <si>
    <t xml:space="preserve">102702</t>
  </si>
  <si>
    <t xml:space="preserve">U-7050A</t>
  </si>
  <si>
    <t xml:space="preserve">Dry Etcher – Metal 4 chamber</t>
  </si>
  <si>
    <t xml:space="preserve">Tool is operating in clean room. [Chamber A]Chamber type:7050 Eching 
ChamberGas config. (sccm)=MFC full scale O2(1000)/Ar 96%+CH4 
4%(500)/ Cl2(300)/Ar(1000)/BCl3(300)/O2(200)/ Cl2(50)/BCl3(50)MFC Brand: 
AEJRF Top450MHz, max 1000WRF Btm 400KHz, max 500WTemp Top 
+60~+100℃     Wall +20~+80℃     ESC +20~+50℃[Chamber B]Chamber type:7050 
Eching ChamberGas config. (sccm)=MFC full scale O2(1000)/Ar 96%+CH4 
4%(500)/ Cl2(300)/Ar(1000)/BCl3(300)/O2(200)/ Cl2(50)/BCl3(50)MFC Brand: 
AEJRF Top450MHz, max 1000WRF Btm 400KHz, max 500WTemp Top 
+60~+100℃     Wall +20~+80℃     ESC +20~+50℃[Chamber C]Chamber type:7050 
Ashing ChamberGas config. (sccm)=MFC full scale O2(5000)/H2O(1000)RF 
Top13.56MHz, max 2000WTemp Stage +250℃[Chamber D]Chamber type:7050 Ashing 
ChamberGas config. (sccm)=MFC full scale O2(5000)/H2O(1000)RF Top13.56MHz, 
max 2000WTemp Stage +250℃ .Missing or damaged parts: none.</t>
  </si>
  <si>
    <t xml:space="preserve">102703</t>
  </si>
  <si>
    <t xml:space="preserve"> Installed - In Production ard Disk Drive will be removed from tool.Other 
missing or damaged parts: none.[Chamber A]Chamber type:7050 Eching 
ChamberGas config. (sccm)=MFC full scale O2(1000)/Ar 96%+CH4 
4%(500)/ Cl2(300)/Ar(1000)/BCl3(300)/O2(200)/ Cl2(50)/BCl3(50)MFC Brand: 
AEJRF Top450MHz, max 900WRF Btm 400KHz, max 450WTemp Top +60~+100℃    Wall 
+20~+80℃    ESC +20~+50℃[Chamber B]Chamber type:7050 Eching ChamberGas 
config. (sccm)=MFC full scale O2(1000)/Ar 96%+CH4 
4%(500)/ Cl2(300)/Ar(1000)/BCl3(300)/O2(200)/ Cl2(50)/BCl3(50)MFC Brand: 
AEJRF Top450MHz, max 900WRF Btm 400KHz, max 450WTemp Top +60~+100℃    Wall 
+20~+80℃    ESC +20~+50℃[Chamber C]Chamber type:7050 Ashing ChamberGas 
config. (sccm)=MFC full scale O2(5000)/H2O(1000)RF Top13.56MHz, max 
1900WTemp Stage +250℃[Chamber D]Chamber type:7050 Ashing ChamberGas 
config. (sccm)=MFC full scale O2(5000)/H2O(1000)RF Top13.56MHz, max 
1900WTemp Stage +250℃</t>
  </si>
  <si>
    <t xml:space="preserve">95729</t>
  </si>
  <si>
    <t xml:space="preserve">WA 3300</t>
  </si>
  <si>
    <t xml:space="preserve">Atomic Force Microscope</t>
  </si>
  <si>
    <t xml:space="preserve">-de-installed
-warehoused
see attached photos for details</t>
  </si>
  <si>
    <t xml:space="preserve">96552</t>
  </si>
  <si>
    <t xml:space="preserve">Hitachi </t>
  </si>
  <si>
    <t xml:space="preserve">Assemb;ly</t>
  </si>
  <si>
    <t xml:space="preserve">Deinstalled, warehoused, 6 sets available.
Full working condition: cen be demo-ed powered up</t>
  </si>
  <si>
    <t xml:space="preserve">91417</t>
  </si>
  <si>
    <t xml:space="preserve">HITACHI </t>
  </si>
  <si>
    <t xml:space="preserve">LS-6800</t>
  </si>
  <si>
    <t xml:space="preserve">wafer surface inspection </t>
  </si>
  <si>
    <t xml:space="preserve">Packing List
1. Main
2. EFEM 
3. Transformer 
4. Blower fan 
5. Stainless steel pipe
De-installed, warehoused. Can be inspected by appointment.</t>
  </si>
  <si>
    <t xml:space="preserve">91418</t>
  </si>
  <si>
    <t xml:space="preserve">UA-7200</t>
  </si>
  <si>
    <t xml:space="preserve">Stripper/Asher </t>
  </si>
  <si>
    <t xml:space="preserve">102992</t>
  </si>
  <si>
    <t xml:space="preserve">HORIBA</t>
  </si>
  <si>
    <t xml:space="preserve">23201010 H</t>
  </si>
  <si>
    <t xml:space="preserve">Ellipsometry + 4pp</t>
  </si>
  <si>
    <t xml:space="preserve">87498</t>
  </si>
  <si>
    <t xml:space="preserve">HP</t>
  </si>
  <si>
    <t xml:space="preserve">16500B</t>
  </si>
  <si>
    <t xml:space="preserve">Logic Analyzer </t>
  </si>
  <si>
    <t xml:space="preserve">Electronics Test and Measurement</t>
  </si>
  <si>
    <t xml:space="preserve">with 2ea 54002A Modules, 1ea 16555A IMSA Analyzer, 1ea 63201 Terminator 
Adapter, 1ea 63203 Terminator Adapter, 1ea Pod 1 Data/J Clock Cable Assy., 
1ea 10433A 10:1 Probe, Rolling Cart, Users Manual and Software
    * Five Card Slots for Measurement Modules
    * Capable of a Wide Range of Measurement Tasks
    * Microprocessor Debug
          o Hardware Design Verification and Debug
    * Color Touchscreen
    * Display Size: 26.162 cm
    * 1,000 Channels of 100 MHz State Analysis
    * 640 Channels of 100 MHz State Analysis with 1 Mb/Channel Memory Depth
    * HPIB, Ethernet, RS232 Ports
    * FDD and HDD Data Storage</t>
  </si>
  <si>
    <t xml:space="preserve">97863</t>
  </si>
  <si>
    <t xml:space="preserve">16500C</t>
  </si>
  <si>
    <t xml:space="preserve">Logic Analyser</t>
  </si>
  <si>
    <t xml:space="preserve">93049</t>
  </si>
  <si>
    <t xml:space="preserve">4145B</t>
  </si>
  <si>
    <t xml:space="preserve">SEMICONDUCTOR PARAMETER</t>
  </si>
  <si>
    <t xml:space="preserve">87499</t>
  </si>
  <si>
    <t xml:space="preserve">HP / Agilent</t>
  </si>
  <si>
    <t xml:space="preserve">54601A</t>
  </si>
  <si>
    <t xml:space="preserve">Oscilloscope, 4 Channel 100 MHz</t>
  </si>
  <si>
    <t xml:space="preserve">    * 4 Channel 20MSa/s Oscilloscope
    * 100 MHz Frequency Range / Bandwidth
    * 5 V/div Max. Vertifcal Sensitivity
    * 2 mV/div Min. Vertical Sensitivity</t>
  </si>
  <si>
    <t xml:space="preserve">103092</t>
  </si>
  <si>
    <t xml:space="preserve">HSEB</t>
  </si>
  <si>
    <t xml:space="preserve">Optical Review System  </t>
  </si>
  <si>
    <t xml:space="preserve">102238</t>
  </si>
  <si>
    <t xml:space="preserve">AXIOSPECT 301</t>
  </si>
  <si>
    <t xml:space="preserve">Optical Microscope</t>
  </si>
  <si>
    <t xml:space="preserve">102239</t>
  </si>
  <si>
    <t xml:space="preserve">102559</t>
  </si>
  <si>
    <t xml:space="preserve">HSEB Zeiss</t>
  </si>
  <si>
    <t xml:space="preserve">Axiotron 300</t>
  </si>
  <si>
    <t xml:space="preserve">AOI microscope with 2 units of Brooks load port</t>
  </si>
  <si>
    <t xml:space="preserve">102240</t>
  </si>
  <si>
    <t xml:space="preserve">Hugle</t>
  </si>
  <si>
    <t xml:space="preserve">UPC-12100</t>
  </si>
  <si>
    <t xml:space="preserve">Foup Cleaner System</t>
  </si>
  <si>
    <t xml:space="preserve">102526</t>
  </si>
  <si>
    <t xml:space="preserve">IA</t>
  </si>
  <si>
    <t xml:space="preserve">OPT585WX</t>
  </si>
  <si>
    <t xml:space="preserve">Illuminator</t>
  </si>
  <si>
    <t xml:space="preserve">102241</t>
  </si>
  <si>
    <t xml:space="preserve">ICOS</t>
  </si>
  <si>
    <t xml:space="preserve">CI-5150</t>
  </si>
  <si>
    <t xml:space="preserve">Inspection System</t>
  </si>
  <si>
    <t xml:space="preserve">103157</t>
  </si>
  <si>
    <t xml:space="preserve">Imtec </t>
  </si>
  <si>
    <t xml:space="preserve">Star 2001 </t>
  </si>
  <si>
    <t xml:space="preserve">Image Reversal Oven</t>
  </si>
  <si>
    <t xml:space="preserve">Imtec Acculine Star 2001 Image Reversal System consisting of - Vacuum 
Prime/Image Reversal - Used to enhance adhesion of photoresist on a wafer 
surface. - Chamber dimensions: 9.5" x 21.5" x 21.5" - Input Power: 208V, 
15A, Single Phase 50/60Hz</t>
  </si>
  <si>
    <t xml:space="preserve">101859</t>
  </si>
  <si>
    <t xml:space="preserve">INVALID[Advanced Technology Inc.]</t>
  </si>
  <si>
    <t xml:space="preserve">Cypress</t>
  </si>
  <si>
    <t xml:space="preserve">98465</t>
  </si>
  <si>
    <t xml:space="preserve">IPEC</t>
  </si>
  <si>
    <t xml:space="preserve">472</t>
  </si>
  <si>
    <t xml:space="preserve">98466</t>
  </si>
  <si>
    <t xml:space="preserve">FULLY REFURBISHED AND CAN BE DEMONSTARED IN OPERATIONAL CONDITION.</t>
  </si>
  <si>
    <t xml:space="preserve">103185</t>
  </si>
  <si>
    <t xml:space="preserve">ISMECA</t>
  </si>
  <si>
    <t xml:space="preserve">NX16L</t>
  </si>
  <si>
    <t xml:space="preserve">Bulk To Tape Taper</t>
  </si>
  <si>
    <t xml:space="preserve">Still operation conditions (can turn on machine)</t>
  </si>
  <si>
    <t xml:space="preserve">35569</t>
  </si>
  <si>
    <t xml:space="preserve">IWASHITA</t>
  </si>
  <si>
    <t xml:space="preserve">Shotmatic 3</t>
  </si>
  <si>
    <t xml:space="preserve">Epoxy Dispenser, 2ea Available</t>
  </si>
  <si>
    <t xml:space="preserve">91419</t>
  </si>
  <si>
    <t xml:space="preserve">J.A Woollam</t>
  </si>
  <si>
    <t xml:space="preserve">VUV-VASE (Gen II)</t>
  </si>
  <si>
    <t xml:space="preserve">Ellipsometer</t>
  </si>
  <si>
    <t xml:space="preserve">91420</t>
  </si>
  <si>
    <t xml:space="preserve">VUV-VASE VU302 (Gen I)</t>
  </si>
  <si>
    <t xml:space="preserve">91421</t>
  </si>
  <si>
    <t xml:space="preserve">J.A.WOOLAM </t>
  </si>
  <si>
    <t xml:space="preserve">M-2000X</t>
  </si>
  <si>
    <t xml:space="preserve">spectroscopic ellipsometers</t>
  </si>
  <si>
    <t xml:space="preserve">93088</t>
  </si>
  <si>
    <t xml:space="preserve">101649</t>
  </si>
  <si>
    <t xml:space="preserve">JEL</t>
  </si>
  <si>
    <t xml:space="preserve">10511305</t>
  </si>
  <si>
    <t xml:space="preserve">JEL Robot</t>
  </si>
  <si>
    <t xml:space="preserve">101046</t>
  </si>
  <si>
    <t xml:space="preserve">MCR3200C‐ 400‐AM‐ 10358</t>
  </si>
  <si>
    <t xml:space="preserve">Cleanroom Handling Robot and controller</t>
  </si>
  <si>
    <t xml:space="preserve">Pricing includes crating of 101046 into one crate.
JEL MCR3200C-400-AM-10358 Cleanroom handling robot (vintage 2017) and JEL 
C5352S-01069 3-axis motion controller
The item for sale consists of a Complete functional setup, consisting of 
robot, controller, teaching box, all cables (signal, motor, encoder, and 
serial), accessories, documentation, and software. Cables in original 
unopened packages.
vintage 2017
SN 11611156
‐ Cleanroom Robot ‐ MCR3200C‐400‐AM‐10358 (S/N 11611156) ‐ 3‐axis Motion 
Controller ‐ C5352S‐01069 (S/N 11611156 (117/02)) ‐ Teaching Box ‐ 
JCT4B‐0500 ‐ Signal Cable ‐ 4K‐031401‐0300 ‐ Encoder Cable ‐ 4K‐038781‐0300 
‐ Motor Cable ‐ 3K‐038791‐0300 ‐ Cable ‐ 4K‐051662 ‐ Cable ‐ 4K‐051672 ‐ 
Serial Cable ‐ 4K‐005671‐0500 ‐ Inspection Sheet / Quality Certificate ‐ 
Documentation (CD) ‐ Communication Software (CD) ‐ Spare vacuum tubing and 
O‐rings
JEL MCR3200C-400-AM CLEANROOM HANDLING ROBOT AND C5352S CONTROLLER 	  	  	  	
JEL cleanroom robot and 3-axis motion controller for high-speed, 
high-accuracy wafer handling. 	  	  	  	 
JEL MCR3200C series cleanroom robot and C5000S series motion controller for 
high-speed, high-accuracy wafer handling in cleanroom environment. 	  	  	  	
This is a complete functional system consisting of a handling robot and 
motion controller with all original items, including:
teaching box, all cables (signal, motor, encoder, and serial, accessories, 
documentation, and software.
The robot is equipped with a 43cm long dual-blade end-effector with vacuum 
suction cups and wrist block with FZV820BC detection sensor and Keyence 
FS-N11N amplifier. 	  	  	  	 
The controller is equipped with a Mitsubishi Input/output Unit 
(AJ65SBTCF1-32DT). 	  	  	  	 
Documentation CD including instruction-, operation-, and maintenance 
manuals. 	  	  	  	 
Robot 	  	  	  	 
Brand 	JEL Corporation 	  	  	 
Type 	Cleanroom handling robot 	  	  	 
Model 	MCR3200C-400-AM-10358 	  	  	 
Part Number 	- 	  	  	 
Serial Number 	11611156 	  	  	 
Manufacturing Date 	Jan. 2017 	  	  	 
Controller 	  	  	  	 
Brand 	JEL Corporation 	  	  	 
Type 	3-axis motion controller 	  	  	 
Model 	C5352S-01069 	  	  	 
Part Number 	- 	  	  	 
Serial Number 	11611156 (117/02) 	  	  	 
Manufacturing Date 	Jan. 2017 	  	  	 
Items 	- Cleanroom Robot - MCR3200C-400-AM-10358 (S/N 11611156) 	  	  	 
  	- 3-axis Motion Controller - C5352S-01069 (S/N 11611156 (117/02)) 	  	  	
  	- Teaching Box - JCT4B-500 	  	  	 
  	- Signal Cable - 4K-031401-0300 	  	  	 
  	- Encoder Cable - 4K-038781-0300 	  	  	 
  	- Motor Cable - 3K-038791-0300 	  	  	 
  	- Cable - 4K-051662 	  	  	 
  	- Cable - 4K-051672 	  	  	 
  	- Serial Cable - 4K-005671-0500 	  	  	 
  	- Inspection Sheet / Quality Certificate 	  	  	 
  	- Documentation (CD) (including instruction-, operation-, and 
maintenance manuals) 	  	  	 
  	- Communication Software (CD) 	  	  	 
  	- Spare vacuum tubing and O-rings 	  	  	 
Notes 	- Pre-owned system in good visual and structural condition. 	  	  	 
  	- Untested 	  	  	 
  	- mild scuff marks on the elbow (see photo). 	  	  	 
  	- Prior usage unknown, presumable unused as it comes with original 
transport fixation bracket and all cables in their original closed 
packaging. 	  	  	 
  	- The system comes with the original inspection sheet / quality 
certificate. 	  	  	 
 </t>
  </si>
  <si>
    <t xml:space="preserve">101047</t>
  </si>
  <si>
    <t xml:space="preserve">Jel</t>
  </si>
  <si>
    <t xml:space="preserve">SCR32000CS‐ 450‐PM</t>
  </si>
  <si>
    <t xml:space="preserve">Cleanroom Handling Robot</t>
  </si>
  <si>
    <t xml:space="preserve">JEL cleanroom robot without accessories. The robot is equipped with a 38cm 
long dualblade end‐effector with vacuum suction cups.</t>
  </si>
  <si>
    <t xml:space="preserve">102651</t>
  </si>
  <si>
    <t xml:space="preserve">Jeol</t>
  </si>
  <si>
    <t xml:space="preserve">JEM-2100</t>
  </si>
  <si>
    <t xml:space="preserve">TEM</t>
  </si>
  <si>
    <t xml:space="preserve">The JEM-2100 is a multipurpose, 200 kV analytical electron microscope. 
Variety of versions is provided to adapt user’s purposes. The JEM-2100, 
which incorporates an integrated PC system for various functions with 
excellent cost performance, supports research and development in wide 
scientific fields, for biology to materials researches.
Still under service contract, available for pickup end of May
LaB6 Gun
Gatan Cryotransfer Holder
AMT XR401 sCMOS camera
Brightfield/Darkfield
Diffraction
80-200kV
 </t>
  </si>
  <si>
    <t xml:space="preserve">102242</t>
  </si>
  <si>
    <t xml:space="preserve">JEOL</t>
  </si>
  <si>
    <t xml:space="preserve">JEM-2500SE</t>
  </si>
  <si>
    <t xml:space="preserve">High Resolution TEM</t>
  </si>
  <si>
    <t xml:space="preserve">102243</t>
  </si>
  <si>
    <t xml:space="preserve">102653</t>
  </si>
  <si>
    <t xml:space="preserve">The JSM-7001F has a large, 5-axis, fully eccentric, motorized, automated 
specimen stage, a one-action specimen exchange airlock, small probe 
diameter even at large probe current and low voltage, and expandability 
with ideal geometry for EDS, WDS, EBSP, and CL. The specimen chamber 
handles specimens up to 200mm in diameter.
High brightness Schottky field emitter
Resolution: 1.2nm (30kV), 1.5nm (15kV), 3.0nm (1 kV)
Everhart-Thornley SE detector and BSE detector
Gentle Beam mode for imaging non-conductive specimens</t>
  </si>
  <si>
    <t xml:space="preserve">102244</t>
  </si>
  <si>
    <t xml:space="preserve">JEM3200FS</t>
  </si>
  <si>
    <t xml:space="preserve">102705</t>
  </si>
  <si>
    <t xml:space="preserve">JFS-9855S</t>
  </si>
  <si>
    <r>
      <rPr>
        <sz val="8"/>
        <rFont val="Arial"/>
        <family val="0"/>
        <charset val="1"/>
      </rPr>
      <t xml:space="preserve">The factory interface is Integrated SMIF.Sun Sparc Version is 
250.Software</t>
    </r>
    <r>
      <rPr>
        <sz val="8"/>
        <rFont val="Noto Sans CJK SC"/>
        <family val="2"/>
        <charset val="1"/>
      </rPr>
      <t xml:space="preserve">：</t>
    </r>
    <r>
      <rPr>
        <sz val="8"/>
        <rFont val="Arial"/>
        <family val="0"/>
        <charset val="1"/>
      </rPr>
      <t xml:space="preserve">1.OS Version is HP-UX V10.2X2.Host Version is V3.113.EOS 
Version is V2.924.Master Version is V3.03Last PM Date is 2020/06/05Off-Line 
Date is 2020/07/29Electrical Requirements is 202V.All the cables are 
present.All the covers are present.Auto Loader is 8".Magnification Range is 
200000X.Tilt Range is 0~60°.Resolution is 5nm.Accelerating Voltage Range is 
15000V. Cryo Pump Make/Model is EBARA/A10S.The chiller is 
present.FeatureHigh SIM resolution : 7nm (30kV)High SEM resolution : 5nm 
(1kV)High quality SEM images ( 1280 X 1024 picls)Stage tilt : 0∘ to 60∘ 
(Wafer)Quick switching between FIB milling and SEI observation 
modesEquipped with a C to C auto-loaderCoordinate linkage with optical 
defect inspection system and laser microscopeRecipe capability for wafer 
information and observation/milling condition</t>
    </r>
  </si>
  <si>
    <t xml:space="preserve">91422</t>
  </si>
  <si>
    <t xml:space="preserve">JSM-5600</t>
  </si>
  <si>
    <t xml:space="preserve">101692</t>
  </si>
  <si>
    <t xml:space="preserve">JSM-6060LV</t>
  </si>
  <si>
    <t xml:space="preserve">Configuration
1x: JEOL JSM-6060 Scanning Electron Microscope (MP-65250).
1x: Oxford Instruments Model 7582
1x: Oxford Instruments Model inca x-stream (Assy 51-1100-103)
1x: Oxford Instruments Model inca mics (Assy 51-1100-104)
1x: Black Box SmartView KVM Switch
1x: Stage / Scanning Mode Controller.
1x: G-100D Vacuum Pump
2x: Dell PCs(Towers) w/ Software
Power up operational prior to fab shut down.
Please check pictures below for more information.</t>
  </si>
  <si>
    <t xml:space="preserve">91423</t>
  </si>
  <si>
    <t xml:space="preserve">JSM-6340F</t>
  </si>
  <si>
    <t xml:space="preserve">102486</t>
  </si>
  <si>
    <t xml:space="preserve">JSM-6600F</t>
  </si>
  <si>
    <t xml:space="preserve">SEM </t>
  </si>
  <si>
    <t xml:space="preserve">200V AC
30A
50/60Hz
6kVA
Please check pictures below from more information</t>
  </si>
  <si>
    <t xml:space="preserve">91424</t>
  </si>
  <si>
    <t xml:space="preserve">JSM-6700F</t>
  </si>
  <si>
    <t xml:space="preserve">102652</t>
  </si>
  <si>
    <t xml:space="preserve">JSM-7001</t>
  </si>
  <si>
    <t xml:space="preserve">FLV SEM</t>
  </si>
  <si>
    <t xml:space="preserve">102968</t>
  </si>
  <si>
    <t xml:space="preserve">JSM-7500F</t>
  </si>
  <si>
    <t xml:space="preserve">102245</t>
  </si>
  <si>
    <t xml:space="preserve">JWS-7515</t>
  </si>
  <si>
    <t xml:space="preserve">SEM Wafer Inspection Tool</t>
  </si>
  <si>
    <t xml:space="preserve">91425</t>
  </si>
  <si>
    <t xml:space="preserve">WAFER INSPECTION</t>
  </si>
  <si>
    <t xml:space="preserve">91426</t>
  </si>
  <si>
    <t xml:space="preserve">102246</t>
  </si>
  <si>
    <t xml:space="preserve">JWS-7555</t>
  </si>
  <si>
    <t xml:space="preserve">102247</t>
  </si>
  <si>
    <t xml:space="preserve">103158</t>
  </si>
  <si>
    <t xml:space="preserve">Jeol </t>
  </si>
  <si>
    <t xml:space="preserve">JSM-6400F </t>
  </si>
  <si>
    <t xml:space="preserve">Jeol JSM-6400F Scanning Microscope consisting of: - Resolution: 1.5 nm at 
30 kV and at 8mm WD - Magnification: 10X to 500 000X - Probe current: 10-12 
to 10-10 A - Electron gun: Cold-cathode field emission - Detectors: 
Scintillator/photomultiplier - GW Electronic System 47 backscattered 
detector - Accelerating Voltage: 500V to 30kV - Specimen Stage: Type: Fully 
Eucentric goniometer stage - Movements: X = 100mm, Y = 110mm, Z = 34mm - 
Tilt: -5˚to 60˚ - Rotation: 360˚ endless - Specimen exchange: By airlock: 
Up to 150mm dia. Specimen holders</t>
  </si>
  <si>
    <t xml:space="preserve">87095</t>
  </si>
  <si>
    <t xml:space="preserve">Johnson Matthey</t>
  </si>
  <si>
    <t xml:space="preserve">H2 purifier HE80 and Oxygen removing unit OR200</t>
  </si>
  <si>
    <t xml:space="preserve">Palladium Membrane</t>
  </si>
  <si>
    <t xml:space="preserve">-SEE ATTACHED PHOTOS FOR CONDITION
-INSPECTION AVAILABLE BY APPOINTMENT
-Located in Europe.
palladium membrane from Johnson Matthey - H2 purifier HE80 and Oxygen 
removing unit OR200 (bought in 1997) – see attached pictures
We remain available for any inspection that you may need to perform.
</t>
  </si>
  <si>
    <t xml:space="preserve">102248</t>
  </si>
  <si>
    <t xml:space="preserve">Jordan Valley</t>
  </si>
  <si>
    <t xml:space="preserve">BedeMetrix-F</t>
  </si>
  <si>
    <t xml:space="preserve">X-Ray reflectometer</t>
  </si>
  <si>
    <t xml:space="preserve">103093</t>
  </si>
  <si>
    <t xml:space="preserve">JVX 6200</t>
  </si>
  <si>
    <t xml:space="preserve">X-ray Fluorescence Spectrometer  </t>
  </si>
  <si>
    <t xml:space="preserve">Current Condition: Used, In Warehouse - Not Crated - Equipment Condition: 
The two major components in the tool are the XRF and XRR sources.XRR source 
is dead.Since the tool has been removed/turned off for a few months, it is 
possible “XRF” source is dead. -</t>
  </si>
  <si>
    <t xml:space="preserve">91427</t>
  </si>
  <si>
    <t xml:space="preserve">X-ray metrology (X-Ray Reflectivity)</t>
  </si>
  <si>
    <t xml:space="preserve">102249</t>
  </si>
  <si>
    <t xml:space="preserve">JVX5200T</t>
  </si>
  <si>
    <t xml:space="preserve">Layer thickness, density and roughness metrology</t>
  </si>
  <si>
    <t xml:space="preserve">100917</t>
  </si>
  <si>
    <t xml:space="preserve">JVX6200</t>
  </si>
  <si>
    <t xml:space="preserve">X-Ray Inspection System</t>
  </si>
  <si>
    <t xml:space="preserve">102250</t>
  </si>
  <si>
    <t xml:space="preserve">JVX6200i</t>
  </si>
  <si>
    <t xml:space="preserve">Film Thickness Measurement</t>
  </si>
  <si>
    <t xml:space="preserve">99830</t>
  </si>
  <si>
    <t xml:space="preserve">JORDAN VALLEY</t>
  </si>
  <si>
    <t xml:space="preserve">JVX6200I</t>
  </si>
  <si>
    <t xml:space="preserve">X-ray Metrology System</t>
  </si>
  <si>
    <t xml:space="preserve">102252</t>
  </si>
  <si>
    <t xml:space="preserve">JVX7300</t>
  </si>
  <si>
    <t xml:space="preserve">102253</t>
  </si>
  <si>
    <t xml:space="preserve">102706</t>
  </si>
  <si>
    <t xml:space="preserve">JUSUNG</t>
  </si>
  <si>
    <t xml:space="preserve">Cyclone Plus</t>
  </si>
  <si>
    <t xml:space="preserve">Transfer Module Platform-. Two Load Lock-. Wafer Align Chamber -.Auto 
Door-. 3 Load Port Module- 6 Sided Transfer Chamber-. Controller for 
TMCCluster Tool Control Main Power Box Control RackAuto Wafer Centering 
systemSemi-batch ALD Al203 Reaction Chamber Process chamber -. Aluminum 
chamber (5 wfs loading) -. Wafer up/down Ass'y-. Space Divided Plasma 
KitVacuum Ass'yGas Jungle Box-. In-situ cleaningNew heating systemDisk RPM 
ControlSoftware &amp; ControllerHeat Exchanger control interfaceO3 generator 
control interface2LDS SystemSemi-batch ALD Al203 Reaction ChamberProcess 
chamber -. Aluminum chamber (5 wfs loading) -. Wafer up/down Ass'y-. Space 
Divided Plasma KitVacuum Ass'yGas Jungle Box-. In-situ cleaningNew heating 
systemDisk RPM ControlSoftware &amp; ControllerHeat Exchanger control 
interface2LDS SystemOptions &amp; CESSwap KitO3 GeneratorAuto refill system 
interface2 * Source Canister (4L) 2* Source Canister (3.2L) Additional cost 
for increasing of 03 concentrationDry Pump FDC function2* Powder Trap</t>
  </si>
  <si>
    <t xml:space="preserve">102707</t>
  </si>
  <si>
    <t xml:space="preserve">1.  Transfer Module ·  Platform- Two Load Lock- Wafer Align Chamber - Auto 
Door- 3 Load Port Module- 6 Sided Transfer Chamber- Controller for 
TMC·  Cluster Tool Control ·  Main Power Box ·  Control Rack·  Auto Wafer 
Centering systemSemi-batch ALD Al203 Reaction Chamber ·  Process chamber - 
Aluminum chamber (5 wfs loading) - Wafer up/down Ass'y- Space Divided 
Plasma Kit·  Vacuum Ass'y·  Gas Jungle Box- In-situ cleaning·  New heating 
system·  Disk RPM Control·  Software &amp; Controller·  Heat Exchanger control 
interface·  O3 generator control interface·  2 LDS SystemSemi-batch ALD 
Al203 Reaction Chamber·  Process chamber - Aluminum chamber (5 wfs 
loading) - Wafer up/down Ass'y- Space Divided Plasma Kit·  Vacuum 
Ass'y·  Gas Jungle Box- In-situ cleaning·  New heating system·  Disk RPM 
Control·  Software &amp; Controller·  Heat Exchanger control interface·  2LDS 
SystemOptions &amp; CES·  Swap Kit·  O3 Generator·  Auto refill system 
interface·  2 * Source Canister (4L) ·  2* Source Canister 
(3.2L) ·  Additional cost for increasing of 03 concentration·  Dry Pump FDC 
function·  2* Powder Trap</t>
  </si>
  <si>
    <t xml:space="preserve">33630</t>
  </si>
  <si>
    <t xml:space="preserve">K&amp;S</t>
  </si>
  <si>
    <t xml:space="preserve">1471</t>
  </si>
  <si>
    <t xml:space="preserve">Automatic wedge bonder</t>
  </si>
  <si>
    <t xml:space="preserve">Wire Bonder, 2ea Available</t>
  </si>
  <si>
    <t xml:space="preserve">99962</t>
  </si>
  <si>
    <t xml:space="preserve">1488</t>
  </si>
  <si>
    <t xml:space="preserve">wire bonder</t>
  </si>
  <si>
    <t xml:space="preserve">Fully serviced, full functionality guranteed with parts warranty.
Includes manual workholder,
Ethernet and SECS/GEM communications</t>
  </si>
  <si>
    <t xml:space="preserve">91832</t>
  </si>
  <si>
    <t xml:space="preserve">1488 Plus</t>
  </si>
  <si>
    <t xml:space="preserve">Automatic Gold Ball Bonder </t>
  </si>
  <si>
    <t xml:space="preserve">    * K&amp;S 870 Pattern Recognition System, Revision 1.65-0-08
    * Operating System Software Revision 7-11-A-06 Including the Following
      Upgrades:
    * Low Dropset Looping
          o J-Wire Looping
          o Bump Bonding
          o BGA 1 Looping
          o BGA 2 Looping
          o “SR” Looping
          o Fine Pitch Video Lead Locator
    * OLYMPUS SZ30 Stereo Zoom Microscope
    * 2” X 2” Manual Vacuum Workholder</t>
  </si>
  <si>
    <t xml:space="preserve">103030</t>
  </si>
  <si>
    <t xml:space="preserve">4124</t>
  </si>
  <si>
    <t xml:space="preserve">Gold Ball Wire Bonder</t>
  </si>
  <si>
    <t xml:space="preserve">Does not include heated work holder.�Versatile enough to bond simple ICs 
and discrete devices or complex hybrids with height variations up to 300 
mils.�Extremely accurate loop and force control.�Wire Range: 0.7 to 3.0 
mil.�120V, 60 Hz.</t>
  </si>
  <si>
    <t xml:space="preserve">103031</t>
  </si>
  <si>
    <t xml:space="preserve">4522</t>
  </si>
  <si>
    <t xml:space="preserve">Manual Gold Ball Wire Bonder With heated work holder</t>
  </si>
  <si>
    <t xml:space="preserve">For process development, production, research or added manufacturing 
support. Provides the high yield and excellent repeatability needed. 
Consistent ball size via negative electronic flame-off. Missing ball 
detection and auto-stop. Consistent tail length with fine adjustment on 
operator panel. Phase Locked Loop (PLL) ultrasonic generator and high-Q 
transducer. Stereo microscope and spotlight targeting options. 115V, 50/60 
Hz, 4.0A, CE</t>
  </si>
  <si>
    <t xml:space="preserve">103032</t>
  </si>
  <si>
    <t xml:space="preserve">103033</t>
  </si>
  <si>
    <t xml:space="preserve">4523</t>
  </si>
  <si>
    <t xml:space="preserve">Manual Deep Access Wedge Wire Bonder</t>
  </si>
  <si>
    <t xml:space="preserve">Offers the versatility to bond simple discrete devices up to complex 
hybrid, microwave devices. Individual bond parameter and loop height 
control. Consistent tail length. Can be configured for wire sizes from 0.7 
to 3.0 mil. Includes optional heated work holder and spotlight targeting. 
Includes StereoZoom microscope. 115/220V, 50/60 Hz, 4A, CE.</t>
  </si>
  <si>
    <t xml:space="preserve">101613</t>
  </si>
  <si>
    <t xml:space="preserve">6495</t>
  </si>
  <si>
    <t xml:space="preserve">Semiautomatic Die Bonder</t>
  </si>
  <si>
    <t xml:space="preserve">KULICKE &amp; SOFFA 6495 Semiautomatic Die Bonder
Guaranteed fully operational
• 2ea CCD Video Cameras with LED Illumination 
• ±1.2 Mil @ 3 Sigma Placement Accuracy
• 50 to 3000 Grams Bond Force Range
• 10sq. mil – 1000sq. mil Die Size Range
• 19” X 12” XY Travel; 0.5”Z Axis Travel; 0.0003” (0.0076 mm) X, Y, Z 
Resolution
• 0.2 mrad/Motor Pulse Theta Rotation
• 1ea Single Collet Head for Die Picking
• Single Needle Syringe for Programmable Liquid Dispense
• Iwashita Shotmatic 3 Pressurized Adhesive Dispenser 
• 2” X 2” Waffle Pack Die Presentation Platform
• 4” X 4”Ambient Flat Die Attach Workholder
• Warranty: 90 Days Parts
• Expiration:  30 Days from Date Above
 </t>
  </si>
  <si>
    <t xml:space="preserve">99415</t>
  </si>
  <si>
    <t xml:space="preserve">Semiautomatic Epoxy Die Bonder</t>
  </si>
  <si>
    <t xml:space="preserve">Waffle Pack Die Presentation �1.2 Mil @ 3 Sigma Placement Accuracy 
DSP-Based Pattern Recognition System 2ea Down-Looking CCD Video Cameras 
Pneumatic Epoxy Dispenser</t>
  </si>
  <si>
    <t xml:space="preserve">35571</t>
  </si>
  <si>
    <t xml:space="preserve">6496</t>
  </si>
  <si>
    <t xml:space="preserve">Semi-Automatic Die Attacher</t>
  </si>
  <si>
    <t xml:space="preserve">99416</t>
  </si>
  <si>
    <t xml:space="preserve">6497</t>
  </si>
  <si>
    <t xml:space="preserve">Semiautomatic Flip Chip Die Bonder</t>
  </si>
  <si>
    <t xml:space="preserve">±1.2 Mil @ 3 Sigma Placement Accuracy 50 to 3000 grams Bond Force Range 
10sq. mil – 1000sq.mil Die Size Range 19” X 12” XY Stage Travel; 0.5”Z Axis 
Travel; 0.0003” (0.0076 mm) X, Y, Z Resolution 0.2 mrad/motor pulse Theta 
Rotation</t>
  </si>
  <si>
    <t xml:space="preserve">100644</t>
  </si>
  <si>
    <t xml:space="preserve">7300</t>
  </si>
  <si>
    <t xml:space="preserve">100645</t>
  </si>
  <si>
    <t xml:space="preserve">61186</t>
  </si>
  <si>
    <t xml:space="preserve">9388 Laser Pro</t>
  </si>
  <si>
    <t xml:space="preserve">Automatic Ball Attach System</t>
  </si>
  <si>
    <t xml:space="preserve">99393</t>
  </si>
  <si>
    <t xml:space="preserve">982-10 Plus</t>
  </si>
  <si>
    <t xml:space="preserve">-  The Spindle is 2" flange.
-  It comes with the manuals and some spare parts, and special tools for 
flange.
-  The machine was working to the last moment before decommissioning (4-5 
years ago), but will be sold "As Is".
In working condition. Currently de-installed and warehoused. Inspection is 
available by appointment.
Please check pictures below for more information</t>
  </si>
  <si>
    <t xml:space="preserve">92702</t>
  </si>
  <si>
    <t xml:space="preserve">MAXUM PLUS</t>
  </si>
  <si>
    <t xml:space="preserve">WIRE  BONDER</t>
  </si>
  <si>
    <t xml:space="preserve">101800</t>
  </si>
  <si>
    <t xml:space="preserve">Maxum plus (9sets)</t>
  </si>
  <si>
    <t xml:space="preserve"> </t>
  </si>
  <si>
    <t xml:space="preserve">92703</t>
  </si>
  <si>
    <t xml:space="preserve">MAXUM ULTRA</t>
  </si>
  <si>
    <t xml:space="preserve">FOR SPARES USE</t>
  </si>
  <si>
    <t xml:space="preserve">92704</t>
  </si>
  <si>
    <t xml:space="preserve">103094</t>
  </si>
  <si>
    <t xml:space="preserve">kaijo</t>
  </si>
  <si>
    <t xml:space="preserve">KRF-300</t>
  </si>
  <si>
    <t xml:space="preserve">Carrier/Pod Cleaner - Support Equipment (Fab)</t>
  </si>
  <si>
    <t xml:space="preserve">Current Condition: Installed - In Production -Foup Washer - HDD Not 
Included. .</t>
  </si>
  <si>
    <t xml:space="preserve">93306</t>
  </si>
  <si>
    <t xml:space="preserve">Kaiser system</t>
  </si>
  <si>
    <t xml:space="preserve">SI-I-1000</t>
  </si>
  <si>
    <t xml:space="preserve">102254</t>
  </si>
  <si>
    <t xml:space="preserve">Karl Suss</t>
  </si>
  <si>
    <t xml:space="preserve">ACS200 Gen3</t>
  </si>
  <si>
    <t xml:space="preserve">Litho coat and develop </t>
  </si>
  <si>
    <t xml:space="preserve">102944</t>
  </si>
  <si>
    <t xml:space="preserve">KARL SUSS</t>
  </si>
  <si>
    <t xml:space="preserve">FALCON ACS 200</t>
  </si>
  <si>
    <t xml:space="preserve">Fully Automated High Throughput Coating, Developing Cluster System</t>
  </si>
  <si>
    <t xml:space="preserve">4 INCH / 6 INCH</t>
  </si>
  <si>
    <t xml:space="preserve">System configured for Anti-reflective coating (A.R.C) and Ebeam Resist.
Number of Photoresist Develop Stations: 1
Number of Photoresist Dispenses: 2
Number of Vapor Prime Hot Plates: 1
Number of Hot Plates: 5
Number of Chill Plates: 4
Number of Cassette Elevators: 2
Wafer Backside Rinse  YES
Wafer Handling: Standard Robot
Mini-Environment: YES
Accessories: MAXIPEC-3000 Air conditioning and filtration unit specifically 
designed for Falcon system providing class 10 environment.
Other Information: System is configured for both 4" and 6" wafers. (2) 
Standard Robots (12)Wafer storage postions. THE ACS 200 MODEL WILL 
ACCOMMODATE UP TO 8 INCH SIZED WAFERS.
Please check the attachments for more information</t>
  </si>
  <si>
    <t xml:space="preserve">102255</t>
  </si>
  <si>
    <t xml:space="preserve">Gamma</t>
  </si>
  <si>
    <t xml:space="preserve">90238</t>
  </si>
  <si>
    <t xml:space="preserve">MA</t>
  </si>
  <si>
    <t xml:space="preserve">-SEE ATTACHED PHOTOS FOR CONDITION
-INSPECTION AVAILABLE BY APPOINTMENT
-Located in Europe.
</t>
  </si>
  <si>
    <t xml:space="preserve">99394</t>
  </si>
  <si>
    <t xml:space="preserve">MA 150</t>
  </si>
  <si>
    <t xml:space="preserve">Mask Aligner (For spares use)</t>
  </si>
  <si>
    <t xml:space="preserve">For spares use only. Currently de-installed and warehoused. Inspection is 
available by appointment.</t>
  </si>
  <si>
    <t xml:space="preserve">98398</t>
  </si>
  <si>
    <t xml:space="preserve">Ma 150CC</t>
  </si>
  <si>
    <t xml:space="preserve">Top Side/Back Side Aligner</t>
  </si>
  <si>
    <t xml:space="preserve">103004</t>
  </si>
  <si>
    <t xml:space="preserve">MA 150M</t>
  </si>
  <si>
    <t xml:space="preserve">Manual Mask Aligner</t>
  </si>
  <si>
    <t xml:space="preserve">97103</t>
  </si>
  <si>
    <t xml:space="preserve">MA 150M/BSA</t>
  </si>
  <si>
    <t xml:space="preserve">100 mm and 150 mm</t>
  </si>
  <si>
    <t xml:space="preserve">very good condition, small used, still in clean room under production 
Equipped with 4” and 6” Proximity exposure, Soft-, Hard-, Vacuum- (and low 
vacuum) contact Many additional spare parts comes with the machine, are 
following: - 2nd lamp control unit - complete UV 300 - optics - 4 "and 6" - 
chucks, TSA and BSA version - Replacement lamps - several spare parts</t>
  </si>
  <si>
    <t xml:space="preserve">100939</t>
  </si>
  <si>
    <t xml:space="preserve">MA 25</t>
  </si>
  <si>
    <t xml:space="preserve">Mask Holder</t>
  </si>
  <si>
    <t xml:space="preserve">1 Set for 4" Wafer (Front-/Backside), 1 Set for 5" Wafer (Front-/Backside)
Please check pictures below for more information
SOLD VIA PRIVATE TREATY BIDDING</t>
  </si>
  <si>
    <t xml:space="preserve">100707</t>
  </si>
  <si>
    <t xml:space="preserve">MA 45</t>
  </si>
  <si>
    <t xml:space="preserve">101341</t>
  </si>
  <si>
    <t xml:space="preserve">Ma150 CC</t>
  </si>
  <si>
    <t xml:space="preserve">102256</t>
  </si>
  <si>
    <t xml:space="preserve">MA200 COMPACT</t>
  </si>
  <si>
    <t xml:space="preserve">99392</t>
  </si>
  <si>
    <t xml:space="preserve">MA56</t>
  </si>
  <si>
    <t xml:space="preserve">In working condition. Currently de-installed and warehoused. Inspection is 
available by appointment.</t>
  </si>
  <si>
    <t xml:space="preserve">96389</t>
  </si>
  <si>
    <t xml:space="preserve">MA6</t>
  </si>
  <si>
    <t xml:space="preserve">50-150 mm</t>
  </si>
  <si>
    <t xml:space="preserve">Price with 4" Back Side Alignment Chuck
Tool Configuration
•1µ Resolution in Hard Contact Mode      
• Split Field Alignment Microscope with 5X, 10X &amp; 20X Objective Lenses
• Back Side Alignment with IR Illumination 
• 2”- 6” Wafer Size Range
• 3” Back Side Alignment Chuck Included
• 4" Back Side Alignment Chuck Available 
• 6” X 6” Mask Plate Holder  
• CIC 1000 1000W UV Power Supply 
• 230VAC, 1 PH, 50/60Hz Input Power  </t>
  </si>
  <si>
    <t xml:space="preserve">101650</t>
  </si>
  <si>
    <t xml:space="preserve">MA8/BA8</t>
  </si>
  <si>
    <t xml:space="preserve">Mask Aligner-PH Gen2</t>
  </si>
  <si>
    <t xml:space="preserve">Volts / HZ/Ph: 208~230V,50/60Hz
Power: 2.6kVA 1+N/2Phase
Imax: AIC 1kA
Other:
-Media Supply/[1 MPa=10 bar]
-Vac: -0.08MPa
-CDA(air): 0.6MPa
-N2: 0.3MPa
Includes:
1 Main Body (Included Stage Unit/Lamp House Unit /TSA Unit/BSIR Unit)
1 CIC 1200 lamp power supply
1 PC
1 UPS
1 Keyboard
Please check the pictures below for more information.</t>
  </si>
  <si>
    <t xml:space="preserve">97104</t>
  </si>
  <si>
    <t xml:space="preserve">MJB 3</t>
  </si>
  <si>
    <t xml:space="preserve">3 inch chuck, 4 inch mask</t>
  </si>
  <si>
    <t xml:space="preserve">Typ: 10000186 UV 300/400 50 Hz 3” Chuck, 4” x 4” Mask Holder Objectiv Leitz 
5x 0,09; 10x 0,20; 20x 0,40; 32x 0,60 Karl Suess CIC 500 Power Supply Suess 
Microtec 158544 for 115V/230V Vintage 2004 Manometer Box</t>
  </si>
  <si>
    <t xml:space="preserve">99877</t>
  </si>
  <si>
    <t xml:space="preserve">• Typ: 10000186 
• UV 300/400
• 50 Hz 
• 3” Chuck, 4” x 4” Mask Holder
• Objectiv Leitz 5x 0,09; 10x 0,20; 20x 0,40; 32x 0,60 
• Karl Suess CIC 500 
• Power Supply Suess Microtec 158544 for 115V/230V Vintage 2004 
• Manometer Box
• User's Manual avaiable
Warehoused. Please check pictures below for more information.
SOLD VIA PRIVATE TREATY BIDDING</t>
  </si>
  <si>
    <t xml:space="preserve">99402</t>
  </si>
  <si>
    <t xml:space="preserve">MJB-3</t>
  </si>
  <si>
    <t xml:space="preserve">99397</t>
  </si>
  <si>
    <t xml:space="preserve">PM 8</t>
  </si>
  <si>
    <t xml:space="preserve">98972</t>
  </si>
  <si>
    <t xml:space="preserve">PSM6</t>
  </si>
  <si>
    <t xml:space="preserve">Wafer Prober KARL SUESS / MICROTEC PSM6 with 6” vacuum chuck 
Inclusive:
Microscope: Bausch &amp; Lomb
Objectiv: 2,25x 0,04, 8x 0,15, 25x 0,31
Ocular: 10x
Oriel anti vibration table 
(6) KARL SUSS PH 100 Needle Holder (Probe Head) 
(4) KARL SUSS PH 150 Needle Holder (Probe Head)
KARL SUSS different Probe Needles
Power Supply: 220 V for Microscope light
Manual
Please check pictures below for more information.</t>
  </si>
  <si>
    <t xml:space="preserve">102257</t>
  </si>
  <si>
    <t xml:space="preserve">XBC300</t>
  </si>
  <si>
    <t xml:space="preserve">Automated Wafer Bonding Tool</t>
  </si>
  <si>
    <t xml:space="preserve">103159</t>
  </si>
  <si>
    <t xml:space="preserve">Karl Suss </t>
  </si>
  <si>
    <t xml:space="preserve">Delta 80 T2 </t>
  </si>
  <si>
    <t xml:space="preserve">Spin Coat &amp; Bake System </t>
  </si>
  <si>
    <t xml:space="preserve">Suss Delta 80 T2 Spin Coat and Bake System - Model: Delta 80 T2 - Stand 
alone spin coater module with Hotplate - For wafers up to 6" (150mm) or 
substrates up to 4" x 4" (100mm x 100mm) - Spinner module - 19" controller 
- Operator panel with display - Stainless steel cabinet - Process bowl made 
of polypropylene - Waste bottle with full sensor - Chuck indexing. - Gyrset 
closed cover coating technology - Delta 150 Hotplate with 2 - 6" lift pin 
setup - Power: 400 VAC 50/60Hz - Brushless servomotor with resolver - Max. 
Speed: - with Gyrset 8”: 3000 rpm - with Gyrset 5": 4000 rpm - with Gyrset 
3": 5000 rpm - with Open Bowl option: 7000 rpm depending on substrate size 
and load - Acceleration: 1 up to 5.000 rpm / s - Spinning Time: 0,1 up to 
999 s - Dimensions: 1200 x 642 x 1317mm (W x D x H) - 3 Phase Transformer - 
Fix Mounted GYRSET - Programmable Electronic Dispensing Arm - Pneumatic 
Mini Cartridge Dispense System - Programmable Edge Bead Remover - Nozzle 
Programmable Puddle Nozzle - Operations Manual and documentation CONDITION: 
Excellent Condition Guaranteed 6 Month Warranty and Full Specifications 
Guarantee. 30 Day Right of Return.</t>
  </si>
  <si>
    <t xml:space="preserve">103160</t>
  </si>
  <si>
    <t xml:space="preserve">RC8 </t>
  </si>
  <si>
    <t xml:space="preserve">Spin Coater System</t>
  </si>
  <si>
    <t xml:space="preserve">99937</t>
  </si>
  <si>
    <t xml:space="preserve">KAWASAKI</t>
  </si>
  <si>
    <t xml:space="preserve">30C08P-C005</t>
  </si>
  <si>
    <t xml:space="preserve">ROBOT CONTROLLER</t>
  </si>
  <si>
    <t xml:space="preserve">98467</t>
  </si>
  <si>
    <t xml:space="preserve">Kawasaki</t>
  </si>
  <si>
    <t xml:space="preserve">3NS411B-F003</t>
  </si>
  <si>
    <t xml:space="preserve">atmospheric wafer robot( AMAT CMP)</t>
  </si>
  <si>
    <t xml:space="preserve">Robot with controller: fully operational at de-installation in 2019. Price 
includes packing and crating for export.
Deinstalled, warehoused. Can be inspected by appointment
Please check pictures below for more information.</t>
  </si>
  <si>
    <t xml:space="preserve">98468</t>
  </si>
  <si>
    <t xml:space="preserve">3NX540B-A302</t>
  </si>
  <si>
    <t xml:space="preserve">atmospheric wafer robot( AMAT producer)</t>
  </si>
  <si>
    <t xml:space="preserve">98469</t>
  </si>
  <si>
    <t xml:space="preserve">NS410B-A002</t>
  </si>
  <si>
    <t xml:space="preserve">91429</t>
  </si>
  <si>
    <t xml:space="preserve">KEITHLEY</t>
  </si>
  <si>
    <t xml:space="preserve">KEITHLEY 236</t>
  </si>
  <si>
    <t xml:space="preserve">SOURCE MEASURE UNIT</t>
  </si>
  <si>
    <t xml:space="preserve">91430</t>
  </si>
  <si>
    <t xml:space="preserve">103034</t>
  </si>
  <si>
    <t xml:space="preserve">Kensington</t>
  </si>
  <si>
    <t xml:space="preserve">11.25 484 1V Nanometrics 8300 Robot</t>
  </si>
  <si>
    <t xml:space="preserve">Robot</t>
  </si>
  <si>
    <t xml:space="preserve">25 484 1V Robot with Controller and Aligner. Nanometrics 8300 Robot and 
aligner from 12" system. Removed in good working condition.</t>
  </si>
  <si>
    <t xml:space="preserve">97864</t>
  </si>
  <si>
    <t xml:space="preserve">KeyTek</t>
  </si>
  <si>
    <t xml:space="preserve">RCDM</t>
  </si>
  <si>
    <t xml:space="preserve">CDM TEST SYSTEM</t>
  </si>
  <si>
    <t xml:space="preserve">96004</t>
  </si>
  <si>
    <t xml:space="preserve">KEYTEK</t>
  </si>
  <si>
    <t xml:space="preserve">ZAPMASTER 7/2</t>
  </si>
  <si>
    <t xml:space="preserve">ESD&amp;LATCH UP TESTER MASTER</t>
  </si>
  <si>
    <t xml:space="preserve">96005</t>
  </si>
  <si>
    <t xml:space="preserve">ZAPMASTER 7/4</t>
  </si>
  <si>
    <t xml:space="preserve">87571</t>
  </si>
  <si>
    <t xml:space="preserve">KINETIC SYSTEMS</t>
  </si>
  <si>
    <t xml:space="preserve">Vibraplane 1201-01-11</t>
  </si>
  <si>
    <t xml:space="preserve">Vibration Isolation Table 30"x35"x29"(h)</t>
  </si>
  <si>
    <t xml:space="preserve">87572</t>
  </si>
  <si>
    <t xml:space="preserve">Vibraplane 1202-22-12S</t>
  </si>
  <si>
    <t xml:space="preserve">Vibration Isolation Table, 47" x 36"</t>
  </si>
  <si>
    <t xml:space="preserve">103161</t>
  </si>
  <si>
    <t xml:space="preserve">KLA Tencor </t>
  </si>
  <si>
    <t xml:space="preserve">Surfscan 5500</t>
  </si>
  <si>
    <t xml:space="preserve">Unpatterned Wafer Surface Inspection Tool</t>
  </si>
  <si>
    <t xml:space="preserve">KLA-Tencor Surfscan 5500 Inspection System consisting of: - Model 5500 Main 
System - Can handle from 2" up to 8"/200mm wafers - Submicron sensitivity, 
detects 0.2 micron particles - Surface haze detected as low as 0.3 ppm. - 
Handles high scattering surfaces such as metals, polysilicon and cvd films. 
- Map locations and size available for each particle. - Fully refurbished 
to meet original Surfscan 5500 specifications - Operations Manual for KLA 
Surfscan 5500 Refurbished to Factory Specifications consisting of: - New 
Laser - New Belts - Clean or Replace Optics and Mirrors - System calibrated 
to KLA specifications with NIST Calibration Standard - Optics Alignment - 
Indexer sensor replacement - Vacuum line change out - New 17" LCD Monitor - 
6 months warranty and specifications guarantee CONDITION: Excellent 
Condition Guaranteed. 6 Month Warranty and Full Specifications Guarantee. 
30 Day Right of Return.</t>
  </si>
  <si>
    <t xml:space="preserve">98399</t>
  </si>
  <si>
    <t xml:space="preserve">KLA-Tencor</t>
  </si>
  <si>
    <t xml:space="preserve">2132</t>
  </si>
  <si>
    <t xml:space="preserve">Brightfield Wafer Defect Inspection System</t>
  </si>
  <si>
    <t xml:space="preserve">In USA. Can be inspected by appointment.
This system is currently warehoused as shown in the photos. It was 
refurbished and upgraded by the OEM from model 2122 to 2132.</t>
  </si>
  <si>
    <t xml:space="preserve">94461</t>
  </si>
  <si>
    <t xml:space="preserve">2132 (mainbody only)</t>
  </si>
  <si>
    <t xml:space="preserve">INSPECTION UNIT</t>
  </si>
  <si>
    <t xml:space="preserve">91431</t>
  </si>
  <si>
    <t xml:space="preserve">2350</t>
  </si>
  <si>
    <t xml:space="preserve">Brightfield Wafer Defect Inspection</t>
  </si>
  <si>
    <t xml:space="preserve">91432</t>
  </si>
  <si>
    <t xml:space="preserve">91433</t>
  </si>
  <si>
    <t xml:space="preserve">102268</t>
  </si>
  <si>
    <t xml:space="preserve">2371</t>
  </si>
  <si>
    <t xml:space="preserve">Bright Defect inspection</t>
  </si>
  <si>
    <t xml:space="preserve">103095</t>
  </si>
  <si>
    <t xml:space="preserve">2800</t>
  </si>
  <si>
    <t xml:space="preserve">Brightfield Inspection  </t>
  </si>
  <si>
    <t xml:space="preserve">The equipment has been powered off and stored in the clean room. SDB board 
is missing.</t>
  </si>
  <si>
    <t xml:space="preserve">98471</t>
  </si>
  <si>
    <t xml:space="preserve">2835i EFEM module</t>
  </si>
  <si>
    <t xml:space="preserve">Yaskawa 9206 robot , fitted with qty 2 Isoports</t>
  </si>
  <si>
    <t xml:space="preserve">Ordered as excess stock so as new, hardly used.
Deinstalled, warehoused. Can be inspected by appointment</t>
  </si>
  <si>
    <t xml:space="preserve">98472</t>
  </si>
  <si>
    <t xml:space="preserve">3Di EFEM module</t>
  </si>
  <si>
    <t xml:space="preserve">Yaskawa 9206 robot , fitted with qty 2 Sinfonia loadport</t>
  </si>
  <si>
    <t xml:space="preserve">102472</t>
  </si>
  <si>
    <t xml:space="preserve">6220</t>
  </si>
  <si>
    <t xml:space="preserve">Bare Wafer Particle Detection System</t>
  </si>
  <si>
    <t xml:space="preserve">150 mm / 200 mm</t>
  </si>
  <si>
    <t xml:space="preserve">The Surfscan ® 6220 is used for the detection, quantification and sizing of 
particulate matter, glass defects and scratches on un-patterned wafers and 
wafers coated with smooth films, and for quantifying haze on a wide variety 
of substrate materials. The system can see dust down to 90nm levels on 
well-polished silicon. Low false defect numbers are achived via a software 
algorithm that separates actual defects from noise.The Surfscan 6220 
features a Windows-based UI.
Automatic film curves
The Surfscan 6220 software generates film curves automatically, eliminating 
the need to deposit spheres on test wafers for each new calibration curve.
Wide dynamic range
The Surfscan 6220 has a wide dynamic range allowing a broad range of 
particles to be accurately sized in a single scan,more repeatable results 
and faster throughput. Repeatability of measurements is high, due to the 
system's high sampling rate.due to the system's significantly increased
sampling rate.
The throughput is up to 130 wafers per hour on 200 mm wafers.
Direct export of defect data
Defect data can be exported directly into popular spreadsheet and word 
processing applications.
System-to-system matching
Calibration software that lets users teach the instrument how to assign 
sizes to particles on their process wafers to improve performance. Using 
the same parameters accross different tools allows better matching.
Enhanced MicroView
MicroView allows areas of the wafer to be zoomed for high resolution 
review. Data can be viewed using different threshold settings for easier 
system set-up and more detailed data analysis.
Individual scattered field sizes can be measured and identified by their 
coordinates for easier subsequent
location. Precise X-Y coordinates for defects can be easily exported to 
optical or SEM review stations.
Networking and SECS-GEM is available as an option.
An Optional Statistical process control is provided via a basic SPC package 
installed on the Surfscan
Specifications
Sensitivity: 0.09 μm at &gt;80% capture rate
(latex spheres on bare silicon)
Throughput: &gt;100 wph (200 mm wafers) at
0.12 μm
Repeatability: Within 0.5%, 1σ (mean count
&gt;500, 0.364 μm diameter latex
spheres)
Illumination Source: 30mW Argon-Ion laser, 488 nm
Sample Sizes: 100 mm to 200 mm (smaller sizes
upon request); round or square samples
Dimensions:
Height:168 cm (66")
Width:75 cm (29.5")
Depth:77 cm (30.25")
Instrument Weight: 240kg (530 lbs)
Shipping Weight: 300kg (670 lbs)</t>
  </si>
  <si>
    <t xml:space="preserve">102634</t>
  </si>
  <si>
    <t xml:space="preserve">6400</t>
  </si>
  <si>
    <t xml:space="preserve">Patterned Wafer Particle Inspection System</t>
  </si>
  <si>
    <t xml:space="preserve">Refurbished, with new laster, PMT, monitor, solid state DD, refurbished 
laser PSU and PS4, with CE mark</t>
  </si>
  <si>
    <t xml:space="preserve">101627</t>
  </si>
  <si>
    <t xml:space="preserve">AIM+</t>
  </si>
  <si>
    <t xml:space="preserve">OVERLAY REGISTRATION TOOL, Copper Tool</t>
  </si>
  <si>
    <t xml:space="preserve">91435</t>
  </si>
  <si>
    <t xml:space="preserve">AIT</t>
  </si>
  <si>
    <t xml:space="preserve">Particle Review</t>
  </si>
  <si>
    <t xml:space="preserve">94462</t>
  </si>
  <si>
    <t xml:space="preserve">102258</t>
  </si>
  <si>
    <t xml:space="preserve">AIT Fusion</t>
  </si>
  <si>
    <t xml:space="preserve">101342</t>
  </si>
  <si>
    <t xml:space="preserve">AIT I</t>
  </si>
  <si>
    <t xml:space="preserve">Patterned Surface Defect Inspection System</t>
  </si>
  <si>
    <t xml:space="preserve">See attached photos for details. The tool is deinstalled and warehoused, 
and the condition is shown as per in the attached photos.
The tool is reported to have been in working condition before removal, with 
no missing or broken parts reported, and you can see that it has had the 
locks applied to it in the photos.</t>
  </si>
  <si>
    <t xml:space="preserve">91436</t>
  </si>
  <si>
    <t xml:space="preserve">Patterned Wafer Inspection</t>
  </si>
  <si>
    <t xml:space="preserve">98400</t>
  </si>
  <si>
    <t xml:space="preserve">AIT I Surfscan</t>
  </si>
  <si>
    <t xml:space="preserve">Patterned Wafer Surface Inspection</t>
  </si>
  <si>
    <t xml:space="preserve">93094</t>
  </si>
  <si>
    <t xml:space="preserve">AIT UV</t>
  </si>
  <si>
    <t xml:space="preserve">DARKFIELD DEFECT INSPECTION</t>
  </si>
  <si>
    <t xml:space="preserve">103096</t>
  </si>
  <si>
    <t xml:space="preserve">Darkfield Inspection  </t>
  </si>
  <si>
    <r>
      <rPr>
        <sz val="8"/>
        <rFont val="Arial"/>
        <family val="0"/>
        <charset val="1"/>
      </rPr>
      <t xml:space="preserve">The equipment already de-hookup and store in fab temporary area. Equipment 
configuration </t>
    </r>
    <r>
      <rPr>
        <sz val="8"/>
        <rFont val="Noto Sans CJK SC"/>
        <family val="2"/>
        <charset val="1"/>
      </rPr>
      <t xml:space="preserve">：</t>
    </r>
    <r>
      <rPr>
        <sz val="8"/>
        <rFont val="Arial"/>
        <family val="0"/>
        <charset val="1"/>
      </rPr>
      <t xml:space="preserve">ASYS S3 loadport*2 &amp; Inspection unit*1, &amp;Pillar*1</t>
    </r>
  </si>
  <si>
    <t xml:space="preserve">93095</t>
  </si>
  <si>
    <t xml:space="preserve">AIT XP+ </t>
  </si>
  <si>
    <t xml:space="preserve">94577</t>
  </si>
  <si>
    <t xml:space="preserve">AIT-UV</t>
  </si>
  <si>
    <t xml:space="preserve">Dark Field Inspection</t>
  </si>
  <si>
    <t xml:space="preserve">De-installed, warehoused. Can be inspected by appointment</t>
  </si>
  <si>
    <t xml:space="preserve">101651</t>
  </si>
  <si>
    <t xml:space="preserve">Alpha-Step 500</t>
  </si>
  <si>
    <t xml:space="preserve">Thickness Measurement System</t>
  </si>
  <si>
    <t xml:space="preserve">103097</t>
  </si>
  <si>
    <t xml:space="preserve">Archer 10</t>
  </si>
  <si>
    <t xml:space="preserve">103098</t>
  </si>
  <si>
    <t xml:space="preserve"> The equipment already de-hookup and store in fab temporary area.</t>
  </si>
  <si>
    <t xml:space="preserve">91440</t>
  </si>
  <si>
    <t xml:space="preserve">ARCHER 10 XT</t>
  </si>
  <si>
    <t xml:space="preserve">Overlay measurement system</t>
  </si>
  <si>
    <t xml:space="preserve">De-installed, warehoused. Can be inspected by appointment.
See attached photos for details.</t>
  </si>
  <si>
    <t xml:space="preserve">93090</t>
  </si>
  <si>
    <t xml:space="preserve">ARCHER 100AIM</t>
  </si>
  <si>
    <t xml:space="preserve">Overlay</t>
  </si>
  <si>
    <t xml:space="preserve">97453</t>
  </si>
  <si>
    <t xml:space="preserve">Archer 200 AIM</t>
  </si>
  <si>
    <t xml:space="preserve">Overlay Measurement System</t>
  </si>
  <si>
    <t xml:space="preserve">-De-installed and warehoused
-Can be inspected by appointment
-See attached photos for details.
-The equipment includes the hard disk, but the hard disk does not contain 
the system software. System software disks are not included.</t>
  </si>
  <si>
    <t xml:space="preserve">102708</t>
  </si>
  <si>
    <t xml:space="preserve">Archer 300 AIM</t>
  </si>
  <si>
    <t xml:space="preserve"> Used, In Warehouse - Crated Operating System: Windows XPArcher Software: 
12.00.18.30200Handler info::�Handler Software version:: V11.308.2.30825AMHS 
Cmd:: FALSECassette Load Cmd:: FALSEInteractive Safety Shield:: 
FALSEIonizer:: FALSEManual Button:: TRUEMini Env:: FALSENotify Port Load 
Events:: TRUENotify Wafer Events:: TRUEQuad FIMS:: FALSES3 Load Ports:: 
TRUELoad ports:: 3Fingers:: 2Aligners:: 1Stages:: 1Garage slotes:: 
0Cassette mapper:: DoorSTANDARD SPECIFICATIONSBasic System : Archer300 
Triple FOUPFully automated overlay measurement module : yesSoftware: yes19" 
LCD screen: yes3.5 inch floppy drive: USB PortCD ROM drive: DVDTape Drive 
back up system (DAT): N/AVideo Hard Copy Printer: yesNetwork ready: yesTool 
OptionsElectrical Wiring, US : yesElectrical Wiring, Japan : noElectrical 
Wiring, Europe : no15 meters machine power cable : 40 metersEMO Shield: 
yesArcher 02S &amp; 03 Painted Skins: yesLight Curtain with Saftey Skirt Double 
FOUP: yesCMP Measurment (CPM+ANRA): yesSignal tower- 4 Lamps 40mm: 
yesGEM/SECS and HSMS: yesE84 enabled for OHT &amp; AGV/RGV: yesTwo�PIO devices 
for OHT: yesE87 (Based on E39): yesE40/E94/E90: yesThree Hermos SingleWire 
CID, G4: yesRDM Machine Client SW &amp; Lic: yesAA &amp; RDM install on AU 
Server/Need One per Fab : yesAA On-Tool Client CD &amp; License: 
yesDamage/Missing parts listoptical column (FRM) damage- illumination lens 
element damage,wait replace FRM</t>
  </si>
  <si>
    <t xml:space="preserve">93091</t>
  </si>
  <si>
    <t xml:space="preserve">ARCHER 300 PLUS</t>
  </si>
  <si>
    <t xml:space="preserve">De-installed, warehoused. Can be inspected by appointment.
Please check pictures below for more information</t>
  </si>
  <si>
    <t xml:space="preserve">93092</t>
  </si>
  <si>
    <t xml:space="preserve">ARCHER 300LCM</t>
  </si>
  <si>
    <t xml:space="preserve">De-installed, warehoused. Can be inspected by appointment.
Complete and in full working order at de-installation.
Please check pictures below for more information</t>
  </si>
  <si>
    <t xml:space="preserve">94464</t>
  </si>
  <si>
    <t xml:space="preserve">Archer AIM</t>
  </si>
  <si>
    <t xml:space="preserve">Deinstalled, Warehoused. Can be inspected by appointment.</t>
  </si>
  <si>
    <t xml:space="preserve">91441</t>
  </si>
  <si>
    <t xml:space="preserve">ARCHER AIM</t>
  </si>
  <si>
    <t xml:space="preserve">102259</t>
  </si>
  <si>
    <t xml:space="preserve">Archer AIM+</t>
  </si>
  <si>
    <t xml:space="preserve">Overlay measurement</t>
  </si>
  <si>
    <t xml:space="preserve">93096</t>
  </si>
  <si>
    <t xml:space="preserve">ARCHER AIM�</t>
  </si>
  <si>
    <t xml:space="preserve">94465</t>
  </si>
  <si>
    <t xml:space="preserve">ARCHER XT+</t>
  </si>
  <si>
    <t xml:space="preserve">94466</t>
  </si>
  <si>
    <t xml:space="preserve">91442</t>
  </si>
  <si>
    <t xml:space="preserve">De-installed, warehoused. Can be inspected by appointment.
See attached photos for details.
The equipment was de-installed in June 2013.
Software Version: 5.60.05.30200
System Power Rating: 208V +/-10% 3 Phase
Loading Configuration : 2 Loadports
System is functional with no known missing parts.
Wafer handling Robot Type: Yaskawa</t>
  </si>
  <si>
    <t xml:space="preserve">91443</t>
  </si>
  <si>
    <t xml:space="preserve">91444</t>
  </si>
  <si>
    <t xml:space="preserve">91445</t>
  </si>
  <si>
    <t xml:space="preserve">ARCHERXT+</t>
  </si>
  <si>
    <t xml:space="preserve">91446</t>
  </si>
  <si>
    <t xml:space="preserve">91447</t>
  </si>
  <si>
    <t xml:space="preserve">91007</t>
  </si>
  <si>
    <t xml:space="preserve">Aset F5x</t>
  </si>
  <si>
    <t xml:space="preserve">Thin Film measurement</t>
  </si>
  <si>
    <t xml:space="preserve">missing parts</t>
  </si>
  <si>
    <r>
      <rPr>
        <sz val="8"/>
        <rFont val="Arial"/>
        <family val="0"/>
        <charset val="1"/>
      </rPr>
      <t xml:space="preserve">De-installed, warehoused. Inspection is available by appointment.
Generic Technical Characteristics of the KLA ASET F5x:
-For thin film metrology
-Will measure down to the 0.10 micron technology node.
-The ASET-F5x uses several different and some optional measurement 
techniques.
-The basic techniques used include advanced optical metrology and 
Spectroscopic Ellipsometry (SE),which can make measurements accross a 
continuous wavelength spectrum from 190 nm to 800 nm.
Other measurement techniques available are:-
Broadband Dual-Beam Spectrophotometry (DBS). This uses a spectrophotometer 
to measure thin film properties (thickness and RI) by comparing a reflected 
light spectrum characteristic of the film stack measured to a theoretical 
spectrum derived from a reflectivity spectrum and known characteristics of 
the film stack.
Single-Wavelength Ellipsometry (SWE)
Optional. Used with self-compensating technology to precisely measure 
ultra-thin gate dielectric films.
Proprietary Pattern Recognition System
Proprietary Pattern Recognition System Enables fast, highly reliable 
measurements due to a unique optics design and state of the art pattern 
recognition hardware/software. A fully automatic model selection feature 
enhances the pattern
recognition performance by eliminating operator subjectivity.
Offline Spectral Analysis (OLSA) Software
Allows development and optimization of film dispersion models offline 
without interrupting production. In addition, OLSA offers development 
algorithms and models, measurement simulation and batch processing with 
statistics.
Wafer Bow Wafer Stress Capability
Optional. For 300mm monitor wafers. Wafer Bow Wafer Stress can be 
determined using the measured film thickness or a thickness entered at run 
time for opaque films.
Typical applications of the Aset F5x in the wafer fab
-Diffusion
Characterization of Diffusion films / film deposition. Measurements made 
using SE, SWE and DBS.
-CMP
Can be used to determine transparent film thickness on a metal array. 
Pattern recognition and auto model select features are an added advantage 
for accurate and fast model recognition, especially for CMP processes.
-Lithography
SE and DUV spectrometry technologies determine critical lithography 
measurements including photoresist and BARC (bottom anti-reflective 
coating) thickness.
-Etch
SE technology has the capability to compensate for surface roughness,which 
enables more accurate and precise RI measurement for etch to thin films. SE 
also allows precise and stable measurements of top layer thin film for etch 
to clear films.
-Advanced Gate Dielectrics
The tool can be used together with electrical measurement equipment to 
allow engineers to measure the gate dielectric for thickness (optically and 
electrically) and hence determine the risks of charge contamination.
The equipment was recently de-installed, and is now located at an 
inspection warehouse.
The detailed configuration of this specific system is as follows:-
1-1    Wafer Size        300mm &amp; 200mm
1-2    200mm Conversion        Insert Type
1-3    Data Transfer        Floppy Disk or DVD R/W
1-5    Operation        Mouse &amp; Key board
1-6    Emergency Button        Yes
1-7    Emergency Button Cover        Recessed Type
1-8    Door Interlock        Yes
1-9    Recipe Auto Back-Up        Yes
1-10    Auto Data Deletion        Yes
1-11    Auto Error Log File Save &amp; Classification        Yes
1-12    Queued Loading(Queue Recipe)        Yes
1-13    Operating System        Windows XP
1-14    Spectroscopic Ellipsometer        Yes
1-15    Spectrometer        Yes
1-16    Wavelength of Light Source        220~800nm
1-17    Spot Size for Thickness &amp; RI        &lt; 40</t>
    </r>
    <r>
      <rPr>
        <sz val="8"/>
        <rFont val="Noto Sans CJK SC"/>
        <family val="2"/>
        <charset val="1"/>
      </rPr>
      <t xml:space="preserve">㎛
</t>
    </r>
    <r>
      <rPr>
        <sz val="8"/>
        <rFont val="Arial"/>
        <family val="0"/>
        <charset val="1"/>
      </rPr>
      <t xml:space="preserve">1-18    Spot Size for Reflectivity        &lt; 40</t>
    </r>
    <r>
      <rPr>
        <sz val="8"/>
        <rFont val="Noto Sans CJK SC"/>
        <family val="2"/>
        <charset val="1"/>
      </rPr>
      <t xml:space="preserve">㎛
</t>
    </r>
    <r>
      <rPr>
        <sz val="8"/>
        <rFont val="Arial"/>
        <family val="0"/>
        <charset val="1"/>
      </rPr>
      <t xml:space="preserve">1-19    2D &amp; 3D Mapping Function        Yes
1-20    Pattern Recognition        Yes
1-21    Recipe Copy With Film Library        Yes
1-22    SE and DBS optics        Yes
1-23    Optic Lens        1X,2X,4X,15X
1-24    Pattern Score        Can Support FA
1-25    Location screen        Visualize on one screen
1-26    Pattern Recognition Image/Measurement Site Save        Save with 
data
1-27    Spectrum Save Function        Save all at once
1-28    Spectrum Save and Auto Deletion        Save everything,HDD
1-29    Recipe/Library import        "On-time intromit at
TCP/IP"
2-12    AMHS        Refer to Appendix-7
2-13    Safety        Refer to Appendix-8
2-14    Project        Refer to Appendix-9
2-15    Signal Tower        Refer to Appendix-10
2-17    Wafer Breakage        ≤ 1/100,000 Cycles
3-1    GEM SEMI E30-98        Yes
3-2    SECSⅡ SEMI E5-93        Yes
3-3    Recipe generator        Yes
3-4    Remote access capability        Yes
3-5    Light tower        Yes
3-6    Carrier ID(300mm)        Yes
3-10    Safety Shield for 300mm SO        Yes
3-11    Light Tower, 3 color: R,Y,G        Yes
3-13    HSMS communication        Yes
3-14    Recipe Generator        Yes
3-24    S3 handler        Yes
    Item        KT response
1-1    1-1.CPU        Comply to P4 2.8Mhz
1-2    1-2.Memory        Comply
1-3    1-3.HDD        "Comply w/ billable
option"
2-1    2-1.Reliability       
2-2    2-2.Recipe Name&amp;Pattern Test Location Card Name 70ea        "comply 
as billable
option"
2-3    2-3.EQPMent On/Offilne Status Change        "comply as billable
option"
2-4    2-4.OnLine PPID Selection Change        "comply as billable
option"
2-5    2-5.Recipe Create Use Number        "comply as billable
option"
MISSING PARTS LIST:-
DBS DETECTOR
Z-STAGE ASSY
XENON LAMP HOUSING
X AMPLIFIER
Y AMPLIFIER
SE SLIDER ASSY
COGNEX 8100 PCA</t>
    </r>
  </si>
  <si>
    <t xml:space="preserve">102260</t>
  </si>
  <si>
    <t xml:space="preserve">ASET-F5x</t>
  </si>
  <si>
    <t xml:space="preserve">Thickness measurement</t>
  </si>
  <si>
    <t xml:space="preserve">200 mm, 300 mm</t>
  </si>
  <si>
    <t xml:space="preserve">101625</t>
  </si>
  <si>
    <t xml:space="preserve">CI-T130</t>
  </si>
  <si>
    <t xml:space="preserve">INSPECTION W/RB PYRAMID &amp; MVS7 (GEN 2)</t>
  </si>
  <si>
    <t xml:space="preserve">101626</t>
  </si>
  <si>
    <t xml:space="preserve">INSPECTION W/RBP, 70X70, MVS7K (GEN 2)</t>
  </si>
  <si>
    <t xml:space="preserve">102261</t>
  </si>
  <si>
    <t xml:space="preserve">CRS1010</t>
  </si>
  <si>
    <t xml:space="preserve">Review Station</t>
  </si>
  <si>
    <t xml:space="preserve">102262</t>
  </si>
  <si>
    <t xml:space="preserve">DP2</t>
  </si>
  <si>
    <t xml:space="preserve">Data Prep Station</t>
  </si>
  <si>
    <t xml:space="preserve">102263</t>
  </si>
  <si>
    <t xml:space="preserve">eS31</t>
  </si>
  <si>
    <t xml:space="preserve">E-beam Inspection</t>
  </si>
  <si>
    <t xml:space="preserve">102266</t>
  </si>
  <si>
    <t xml:space="preserve">eS32</t>
  </si>
  <si>
    <t xml:space="preserve">102709</t>
  </si>
  <si>
    <t xml:space="preserve">Equipment is located in cleanroom.The de-installed tool will be located in 
the clean room until May 11, 2021.</t>
  </si>
  <si>
    <t xml:space="preserve">102710</t>
  </si>
  <si>
    <t xml:space="preserve">Equipment is located in cleanroom The de-installed tool will be located in 
the clean room until May 11, 2021.</t>
  </si>
  <si>
    <t xml:space="preserve">102264</t>
  </si>
  <si>
    <t xml:space="preserve">Electron-Beam Inspection</t>
  </si>
  <si>
    <t xml:space="preserve">102265</t>
  </si>
  <si>
    <t xml:space="preserve">92705</t>
  </si>
  <si>
    <t xml:space="preserve">ES35D</t>
  </si>
  <si>
    <t xml:space="preserve">E-BEAM INSPECTION</t>
  </si>
  <si>
    <t xml:space="preserve">98818</t>
  </si>
  <si>
    <t xml:space="preserve">F5X</t>
  </si>
  <si>
    <t xml:space="preserve">Film Thickness Measurement System</t>
  </si>
  <si>
    <t xml:space="preserve">102969</t>
  </si>
  <si>
    <t xml:space="preserve">103141</t>
  </si>
  <si>
    <t xml:space="preserve">FX-200 (Initialized)</t>
  </si>
  <si>
    <t xml:space="preserve">Thin Film Measurement</t>
  </si>
  <si>
    <t xml:space="preserve">102267</t>
  </si>
  <si>
    <t xml:space="preserve">FX200</t>
  </si>
  <si>
    <t xml:space="preserve">91451</t>
  </si>
  <si>
    <t xml:space="preserve">HRP_340</t>
  </si>
  <si>
    <t xml:space="preserve">Surface Profiler </t>
  </si>
  <si>
    <t xml:space="preserve">91452</t>
  </si>
  <si>
    <t xml:space="preserve">94469</t>
  </si>
  <si>
    <t xml:space="preserve">KLA 5100</t>
  </si>
  <si>
    <t xml:space="preserve">OVERLAY REGISTRATION </t>
  </si>
  <si>
    <t xml:space="preserve">91453</t>
  </si>
  <si>
    <t xml:space="preserve">KLA 5100XP</t>
  </si>
  <si>
    <t xml:space="preserve">91454</t>
  </si>
  <si>
    <t xml:space="preserve">KLA 5200</t>
  </si>
  <si>
    <t xml:space="preserve">94470</t>
  </si>
  <si>
    <t xml:space="preserve">KLA- Aleris CX</t>
  </si>
  <si>
    <t xml:space="preserve">FilmThickness Mesuarement</t>
  </si>
  <si>
    <t xml:space="preserve">94471</t>
  </si>
  <si>
    <t xml:space="preserve">KLA- Aleris HT</t>
  </si>
  <si>
    <t xml:space="preserve">99912</t>
  </si>
  <si>
    <t xml:space="preserve">KLA2131</t>
  </si>
  <si>
    <t xml:space="preserve">Configuration available upon request. Can be inspected by appointment.</t>
  </si>
  <si>
    <t xml:space="preserve">101801</t>
  </si>
  <si>
    <t xml:space="preserve">M-gage300</t>
  </si>
  <si>
    <t xml:space="preserve">Al Thickness measurement</t>
  </si>
  <si>
    <t xml:space="preserve">91457</t>
  </si>
  <si>
    <t xml:space="preserve">M-GAUGE 200</t>
  </si>
  <si>
    <t xml:space="preserve">4", 150 mm</t>
  </si>
  <si>
    <t xml:space="preserve">93097</t>
  </si>
  <si>
    <t xml:space="preserve">P-10</t>
  </si>
  <si>
    <t xml:space="preserve">DISK PROFILER</t>
  </si>
  <si>
    <t xml:space="preserve">102477</t>
  </si>
  <si>
    <t xml:space="preserve">Manual Wafer Load Disk Profilometer</t>
  </si>
  <si>
    <t xml:space="preserve">93098</t>
  </si>
  <si>
    <t xml:space="preserve">P-12 </t>
  </si>
  <si>
    <t xml:space="preserve">150 mm/200 mm</t>
  </si>
  <si>
    <t xml:space="preserve">93099</t>
  </si>
  <si>
    <t xml:space="preserve">P-2</t>
  </si>
  <si>
    <t xml:space="preserve">93100</t>
  </si>
  <si>
    <t xml:space="preserve">P-2 </t>
  </si>
  <si>
    <t xml:space="preserve">93101</t>
  </si>
  <si>
    <t xml:space="preserve">P-20H</t>
  </si>
  <si>
    <t xml:space="preserve">93102</t>
  </si>
  <si>
    <t xml:space="preserve">P-2H</t>
  </si>
  <si>
    <t xml:space="preserve">91464</t>
  </si>
  <si>
    <t xml:space="preserve">PROMETRIX FT750</t>
  </si>
  <si>
    <t xml:space="preserve">91466</t>
  </si>
  <si>
    <t xml:space="preserve">91469</t>
  </si>
  <si>
    <t xml:space="preserve">PROMETRIX RS55 Manual Type</t>
  </si>
  <si>
    <t xml:space="preserve">Resistivity</t>
  </si>
  <si>
    <t xml:space="preserve">102270</t>
  </si>
  <si>
    <t xml:space="preserve">Puma 9000</t>
  </si>
  <si>
    <t xml:space="preserve">100918</t>
  </si>
  <si>
    <t xml:space="preserve">PUMA 9000</t>
  </si>
  <si>
    <t xml:space="preserve">Defect Inspection</t>
  </si>
  <si>
    <t xml:space="preserve">94472</t>
  </si>
  <si>
    <t xml:space="preserve">PUMA 9130</t>
  </si>
  <si>
    <t xml:space="preserve">Darkfield Wafer inspection system</t>
  </si>
  <si>
    <t xml:space="preserve">-A laser imaging, darkfield patterned wafer inspection system designed to 
find critical defects at high production throughputs.
These tools provide excursion monitoring capability for memory and logic 
devices at the 55/45nm nodes and beyond.
Features:-
-Different optical modes and multiple pixel sizes provide broad defect type 
capture at required speed for a range of process layers
-High production throughputs at required sensitivity
-Modular tool design
Typical Applications:
Films: defect detection on all film layers.
CMP: CMP interconnect process monitoring.
Etch: Ddetection of etch pattern defects (bridging, shorts).
Photo and ADI: Photo-cell monitoring and after-develop inspection.
-Fitted with dual 300 mm SMIF load ports
    1.  EFEM
    2. MAIN FRAME
    3. UI RACK
    4. ETC. PART BOX</t>
  </si>
  <si>
    <t xml:space="preserve">98403</t>
  </si>
  <si>
    <t xml:space="preserve">SFS-7600</t>
  </si>
  <si>
    <t xml:space="preserve">101614</t>
  </si>
  <si>
    <t xml:space="preserve">SFX200</t>
  </si>
  <si>
    <t xml:space="preserve">200 - 300 mm</t>
  </si>
  <si>
    <t xml:space="preserve">102272</t>
  </si>
  <si>
    <t xml:space="preserve">SLF576</t>
  </si>
  <si>
    <t xml:space="preserve">Reticle inspection system</t>
  </si>
  <si>
    <t xml:space="preserve">94473</t>
  </si>
  <si>
    <t xml:space="preserve">SP1 Tbi</t>
  </si>
  <si>
    <t xml:space="preserve">Unpatterned wafer inspection System</t>
  </si>
  <si>
    <t xml:space="preserve">-SOLD AS IS
-SEE ATTACHED PHOTOS FOR DETAILS OF TOOL CONDITION ETC.
-I CAN PROVIDE REFURBISHMENT, ETC., AT EXTRA COST.</t>
  </si>
  <si>
    <t xml:space="preserve">93910</t>
  </si>
  <si>
    <t xml:space="preserve">SP3</t>
  </si>
  <si>
    <t xml:space="preserve">DARKFIELD WAFER INSPECTION SYSTEM</t>
  </si>
  <si>
    <t xml:space="preserve">Deinstalled, warehoused. Can be inspected by appointment.
-CE Marked
-TUV Rheinland
-Handler type Phoenix TF2.23 x 300 mm FOUP loaders
-Electrical Rating: 208-240 Volts, 1 phase, 50-60 Hz, 24 A
-Main breaker: 30A, 14,000 AIC
-Equipment SCCR: 14,000 A
-Largest Load: Wafer handler (7A).
-Complies with 21 CFR 1040.10 and 1040.11 except for deviations pursuant to 
Laser Notice 50, dated June 24th 2007.
-The system passes initialization
-Laser Data:-
Power: 0.521 W
Current: 59 A
FHG Spt 7 Hours 718.49
SBR Spot 7 Hours 1823.48
Laser head Hours 6052.17
Diode Hours 42657.28
Power Supply Hours 49035.48
Installed SW:
NGS V6.20
Possible Applications for a Surfscan SP3:-
-Unpatterned wafer surface inspection identifies surface quality issues
-In substrate manufacturing, can be used for Substrate process development, 
product monitoring, final QC checks.
-In Chip Manufacturing, can be used for Bare wafer and blanket film 
measurements, for substrate incoming quality control, process tool 
monitoring and backside wafer inspection.
_Equipment manufacturers can use the equipment for process development and 
tool qualitifaction.
Optimized sensitivity and throughput - &lt; 28nm defect sensitivity on 
polished bare silicon
DUV Illumination
Enables qualification of current and next-generation substrates, PW, EPI, 
Films, SOI, strained SOI and strained Si
Qualification and monitoring of process tools, at the 32nm and below 
technology nodes
Assists in IC process troubleshooting and development
Features all sensitivity modes enabled, including:
Standard Throughput Inspection Mode
High Throughput Inspection Mode
High Sensitivity Inspection Mode
Advanced Illumination Optics supporting the following mode(s):
Normal Illumination
Oblique Illumination
Inspection Station configured for 300mm Vacuum Handling
Equipped with Cool White Panels
Laser Power Modulator
GEM/SECS and HSMS
E84 Enablement for AMHS, TFIMS
Three OHT Hokuyo PI/O Infrared Communication (Hardware) Devices
Possible SP3 Options
Advanced SURFmonitor Analysis Capabilities
Brightfield (DIC) Option
XFS Lens - Tungsten (W)
XFS Lens - Copper (Cu)
XFS Lens – Poly</t>
  </si>
  <si>
    <t xml:space="preserve">102273</t>
  </si>
  <si>
    <t xml:space="preserve">Surfscan 2.1</t>
  </si>
  <si>
    <t xml:space="preserve">Particle Counter</t>
  </si>
  <si>
    <t xml:space="preserve">98858</t>
  </si>
  <si>
    <t xml:space="preserve">Surfscan 4500</t>
  </si>
  <si>
    <t xml:space="preserve">Unpatterned Wafer Surface Inspection</t>
  </si>
  <si>
    <t xml:space="preserve">Fully operational, de-bugged and available for demonstration if required.
Deinstalled, Warehoused. Can be inspected by appointment
Watch a video of the tool in operation:</t>
  </si>
  <si>
    <t xml:space="preserve">96998</t>
  </si>
  <si>
    <t xml:space="preserve">Surfscan AIT 8010</t>
  </si>
  <si>
    <t xml:space="preserve">Please check pictures below</t>
  </si>
  <si>
    <t xml:space="preserve">102711</t>
  </si>
  <si>
    <t xml:space="preserve">Surfscan SP2</t>
  </si>
  <si>
    <t xml:space="preserve">Wafer Particle Measurement System</t>
  </si>
  <si>
    <t xml:space="preserve">102712</t>
  </si>
  <si>
    <t xml:space="preserve">102714</t>
  </si>
  <si>
    <t xml:space="preserve"> Installed - In Production STANDARD SPECIFICATIONS Windows System: Windows 
XP SP3Main S/W: NGS 5.4 SR3 HF3Wafer Size: 300mm SEMI NotchCarrier-3 
AdvanTag SW CID, Phx, TDK (load port)-8 user-configurable LEDs to display 
the loadport status- Load/unload button for manual delivery hand-off- 
Cassette / wafer mapping which allows the tool to generate a wafer map of 
the 300mm FOUP and detect wafer presence, empty slots and cross-slotted 
wafer. The wafer map can be displayed on the user screen and sent to a SECS 
host.Facilities-Power: 208 VAC, 3W-N-CDA: &gt; 28.3 Nl/min, &gt; 6.6791 
kg/cm2-Vac: &gt; 28.317 l/min, &gt; -700 mm HgChamber-Powder Coat Panels 
Kit-200/300mm Vacuum option-Optical FilterLoad port: Vacuum 300mm Dual 
FIMSApplication-2mm Edge Exclusion-Oblique Incidence Illumination (High / 
Standard / Low)-Normal Incidence Illumination (High / Standard / 
Low)-Enhanced XY Coordinates-IDM SP2-Standard Classification package-LPD-N 
Classification-LPD-ES classification-Grading and Sorting-Spatial Filter (20 
degree)-Spatial Filter (40 degree)-Spatial filter (rough films)-Spatial 
filter (Back)-High Sensitivity Inspect Mode-High Throughput Inspect 
ModeOptions-Haze-Haze Normalization-Haze Analysis-IC/OEM Mfg Surf Quality 
RecipeWafer size: 300mm XY Calibration Wafer with first ArticleHARDWARE 
CONFIGURATIONOthers: 5 Color Light Tower (RBYGW)Ethernet-NFS Client-E84 
enabled for OHT &amp; AGV/RGV-E87 (Based on E39)-GEM/SECS and HSMS-E40/ E94/ 
E90 / E116Handler: Secondary UI, Phoenix, SP2Main Computer-Intel®Xeon™ CPU 
3.20GHz-3.5 GB RAM Memory-DVD- ROM-Mouse-Keyboard-3.5" Floppy-NGS 
application softwareFEC computer-Intel®Pentium®4 CPU-1.99 GB RAM 
MemoryDamage/Missing parts list</t>
  </si>
  <si>
    <t xml:space="preserve">102715</t>
  </si>
  <si>
    <t xml:space="preserve"> Installed - In Production STANDARD SPECIFICATIONSWindows System: Windows 
XP SP3Main S/W: NGS 5.4 SR3 HF3Wafer Size: 300mm SEMI NotchCarrier-3 
AdvanTag SW CID, Phx, TDK (load port)-8 user-configurable LEDs to display 
the loadport status- Load/unload button for manual delivery hand-off- 
Cassette / wafer mapping which allows the tool to generate a wafer map of 
the 300mm FOUP and detect wafer presence, empty slots and cross-slotted 
wafer. The wafer map can be displayed on the user screen and sent to a SECS 
host.Facilities-Power: 208 VAC, 3W-N-CDA: &gt; 28.3 Nl/min, &gt; 6.6791 
kg/cm2-Vac: &gt; 28.317 l/min, &gt; -700 mm HgChamber-Powder Coat Panels 
Kit-200/300mm Vacuum option-Optical FilterLoad port: Vacuum 300mm Dual 
FIMSApplication-2mm Edge Exclusion-Oblique Incidence Illumination (High / 
Standard / Low)-Normal Incidence Illumination (High / Standard / 
Low)-Enhanced XY Coordinates-IDM SP2-Standard Classification package-LPD-N 
Classification-LPD-ES classification-Grading and Sorting-Spatial Filter (20 
degree)-Spatial Filter (40 degree)-Spatial filter (rough films)-Spatial 
filter (Back)-High Sensitivity Inspect Mode-High Throughput Inspect 
ModeOptions-Haze-Haze Normalization-Haze Analysis-IC/OEM Mfg Surf Quality 
RecipeWafer size: 300mm XY Calibration Wafer with first ArticleHARDWARE 
CONFIGURATIONOthers: 5 Color Light Tower (RBYGW)Ethernet-NFS Client-E84 
enabled for OHT &amp; AGV/RGV-E87 (Based on E39)-GEM/SECS and HSMS-E40/ E94/ 
E90 / E116Handler: Secondary UI, Phoenix, SP2Main Computer-Intel®Xeon™ CPU 
3.20GHz-3.5 GB RAM Memory-DVD- ROM-Mouse-Keyboard-3.5" Floppy-NGS 
application softwareFEC computer-Intel®Pentium®4 CPU-248MB RAM 
MemoryDamage/Missing parts list</t>
  </si>
  <si>
    <t xml:space="preserve">102716</t>
  </si>
  <si>
    <t xml:space="preserve"> Installed - In Production AREINSP STANDARD SPECIFICATIONSWindows System: 
Windows XP SP3Main S/W: NGS 5.4 SR3 HF3Wafer Size: 300mm SEMI 
NotchCarrier-3 AdvanTag SW CID, Phx, TDK (load port)-8 user-configurable 
LEDs to display the loadport status- Load/unload button for manual delivery 
hand-off- Cassette / wafer mapping which allows the tool to generate a 
wafer map of the 300mm FOUP and detect wafer presence, empty slots and 
cross-slotted wafer. The wafer map can be displayed on the user screen and 
sent to a SECS host.Facilities-Power: 208 VAC, 3W-N-CDA: &gt; 28.3 Nl/min, &gt; 
6.6791 kg/cm2-Vac: &gt; 28.317 l/min, &gt; -700 mm HgChamber-Powder Coat Panels 
Kit-200/300mm Vacuum option-Optical FilterLoad port: Vacuum 300mm Dual 
FIMSApplication-2mm Edge Exclusion-Oblique Incidence Illumination (High / 
Standard / Low)-Normal Incidence Illumination (High / Standard / 
Low)-Enhanced XY Coordinates-IDM SP2-Standard Classification package-LPD-N 
Classification-LPD-ES classification-Grading and Sorting-Spatial Filter (20 
degree)-Spatial Filter (40 degree)-Spatial filter (rough films)-Spatial 
filter (Back)-High Sensitivity Inspect Mode-High Throughput Inspect 
ModeOptions-Haze-Haze Normalization-Haze Analysis-IC/OEM Mfg Surf Quality 
RecipeWafer size: 300mm XY Calibration Wafer with first ArticleHARDWARE 
CONFIGURATIONOthers: 5 Color Light Tower (RBYGW)Ethernet-NFS Client-E84 
enabled for OHT &amp; AGV/RGV-E87 (Based on E39)-GEM/SECS and HSMS-E40/ E94/ 
E90 / E116Handler: Secondary UI, Phoenix, SP2Main Computer-Intel®Xeon™ CPU 
3.20GHz-3.5 GB RAM Memory-DVD- ROM-Mouse-Keyboard-3.5" Floppy-NGS 
application softwareFEC computer-Intel®Pentium®4 CPU-248MB RAM 
MemoryDamage/Missing parts list</t>
  </si>
  <si>
    <t xml:space="preserve">103099</t>
  </si>
  <si>
    <t xml:space="preserve">Surfscan SP3</t>
  </si>
  <si>
    <t xml:space="preserve">Particle Measurement  </t>
  </si>
  <si>
    <t xml:space="preserve"> Main System Surfscan SP3 Scan Module 1 unit IMC (image computer) 1 unit 1 
heat exhaust blower unit - Handling Options: Vacuum Chuck Triple FIMS 
handler (3 x 300 mm) 1 set - Software NGS Version:6.20.6360 IMC Version: 
2.30.6360 - Standard Options 1 Oblique Incident 1 set 2 ST mode 1 set 3 2mm 
edge exclusion area 1 set 4 Defect classification function (Slipline, 
Scratch, Cluster, LPD-N, LPD-ES, RBB) 1 set 5 Dual Scan (Normal + Oblique 
Scan) 1 set 6 Partial Dual Scan (Secondly Inspection Region) 1 set 7 
SURFmonitor Essentials 1 set 8 Optical filter (Fluorescence Filter) 1 set 9 
Spatial filters (20 degrees, 40 degrees, Back) 1 set 10 Environmental 
optics (COE) kit 1 set 11 Cool White Panels (exterior panel) 1 set - 
Options 1 Normal incident P/N: 0274498-000 1 set 2 HT mode P/N: 0274501-000 
1 set 3 HS mode P/N: 0274499-000 1 set 4 LPM (Large Particle Mode) P/N: 
0262045-000 1 set 5 Custom Film Generator (Auto Cal Film) P/N: 0395928-000 
1 set 6 300mm silica wafer set P/N: 0302187-000 1 set 7 300mm XY coordinate 
standard wafer P/N: 0016628-000 1 set 8 300mm SP3 Haze Normalization Wafer 
Set P/N: 0356234-000 1 set 9 NFS client P/N: 0306847-000 1 set 10 NGS 
desktop software P/N: 0307637-000 1 set - Installed Software Options 
Illumination Oblique Illumination Normal Throughput HS Throughput ST 
Throughput HT Desktop SW Haze Line Classification HighResHaze Filters 
GridAnalysis ParametericCorrelation Grading Mask 20 Degrees Mask 40 Degrees 
iDM SurfACEQuality low k SurfACEQuality Rough 1 SurfACEQuality Rough 2 
SurfACEQuality Smooth SurfACEQuality Very Smooth SurfACEQuality Medium 
Filter Flourescence Mask Back SURFImage in KLARF Dual Incidence Rule Based 
Binning Dual Incidence Obl Obl M53 NormStyle Enhanced LPD Detection DRE 
Mask XFS H3 InstSubType Classic Plus Large Particle Mode ART 
CustomFilmGenerator Sub1nm EdgeExclusion Enh User Security - - - - -</t>
  </si>
  <si>
    <t xml:space="preserve">102497</t>
  </si>
  <si>
    <t xml:space="preserve">T830</t>
  </si>
  <si>
    <t xml:space="preserve">103100</t>
  </si>
  <si>
    <t xml:space="preserve">TeraScan STARLight 536</t>
  </si>
  <si>
    <t xml:space="preserve">Reticle Inspection</t>
  </si>
  <si>
    <r>
      <rPr>
        <sz val="8"/>
        <rFont val="Arial"/>
        <family val="0"/>
        <charset val="1"/>
      </rPr>
      <t xml:space="preserve">The equipment has been cold down. Equipment configuration </t>
    </r>
    <r>
      <rPr>
        <sz val="8"/>
        <rFont val="Noto Sans CJK SC"/>
        <family val="2"/>
        <charset val="1"/>
      </rPr>
      <t xml:space="preserve">： </t>
    </r>
    <r>
      <rPr>
        <sz val="8"/>
        <rFont val="Arial"/>
        <family val="0"/>
        <charset val="1"/>
      </rPr>
      <t xml:space="preserve">Inspection 
unit*1 &amp; UIC*2 &amp; Power Box*1 The equipment has damaged parts as below, 
1.LASER,FRED,ASSY 2.FRU,ROBOT,RLS2,5XX 3.SBC, PRGMD XES, DATAPATH/PKT-XR 
4.KIT, LASER PSU FLOWMETER REPAIR 5.ASSY,POWER SUPPLY,LASER,5XX 6.AIR 
SOLEND,24V,3PRT,SMC,W/LG FLW,SUBPLT 7.ETHERNET SWITCH 8 PORTS - -</t>
    </r>
  </si>
  <si>
    <t xml:space="preserve">91474</t>
  </si>
  <si>
    <t xml:space="preserve">THERMA-WAVE OP 2600</t>
  </si>
  <si>
    <t xml:space="preserve">OPTI-PROBE</t>
  </si>
  <si>
    <t xml:space="preserve">91475</t>
  </si>
  <si>
    <t xml:space="preserve">91476</t>
  </si>
  <si>
    <t xml:space="preserve">THERMA-WAVE OP 2600 </t>
  </si>
  <si>
    <t xml:space="preserve">91477</t>
  </si>
  <si>
    <t xml:space="preserve">91478</t>
  </si>
  <si>
    <t xml:space="preserve">THERMA-WAVE OP 2600 DUV</t>
  </si>
  <si>
    <t xml:space="preserve">91479</t>
  </si>
  <si>
    <t xml:space="preserve">THERMA-WAVE OP 2600B</t>
  </si>
  <si>
    <t xml:space="preserve">91480</t>
  </si>
  <si>
    <t xml:space="preserve">91481</t>
  </si>
  <si>
    <t xml:space="preserve">91482</t>
  </si>
  <si>
    <t xml:space="preserve">91483</t>
  </si>
  <si>
    <t xml:space="preserve">91484</t>
  </si>
  <si>
    <t xml:space="preserve">101557</t>
  </si>
  <si>
    <t xml:space="preserve">Therma-Wave TP630XP</t>
  </si>
  <si>
    <t xml:space="preserve">METRO</t>
  </si>
  <si>
    <t xml:space="preserve">98404</t>
  </si>
  <si>
    <t xml:space="preserve">UV-1050</t>
  </si>
  <si>
    <t xml:space="preserve">Thin Film Measurement System</t>
  </si>
  <si>
    <t xml:space="preserve">93911</t>
  </si>
  <si>
    <t xml:space="preserve">UV1080</t>
  </si>
  <si>
    <t xml:space="preserve">THIN FILM MEASUREMENT</t>
  </si>
  <si>
    <t xml:space="preserve">102274</t>
  </si>
  <si>
    <t xml:space="preserve">Viper 2435</t>
  </si>
  <si>
    <t xml:space="preserve">MACRO INSPECTION</t>
  </si>
  <si>
    <t xml:space="preserve">102842</t>
  </si>
  <si>
    <t xml:space="preserve">KLA-TENCOR	 	</t>
  </si>
  <si>
    <t xml:space="preserve">UV1280SE</t>
  </si>
  <si>
    <t xml:space="preserve">Film Thickness Measurement System / Ellipsometer</t>
  </si>
  <si>
    <t xml:space="preserve">The equipment has been refurbished, and is in working condition.
System specifications:-
Cognex 5400 Patmax System
-Options: (DBS) Dual Beam Spectrometer &amp; (SE) Spectroscopic Ellipsometer
Max wafer capable: 200mm
System set up for 200mm wafers (PRI - Equiped Handler built in)
Locator plate for running 100mm and 150mm wafers included with system
Measures Film Thickness, Refractive Index (RI) and Extinction Coefficient 
of Single and Multi-Layer Thin Film Stacks Simultaneously without 
Referencing
Reflectivity Range of 220 nm to 800 nm
Intel Pentium III 850MHZ computer, 1Gb DRAM
80G to 140G Hard drive with window NT 4.0
SECS/GEM option available
Operations Manuals Included
Fully Refurbished to excellent condition</t>
  </si>
  <si>
    <t xml:space="preserve">103163</t>
  </si>
  <si>
    <t xml:space="preserve">KLA-Tencor </t>
  </si>
  <si>
    <t xml:space="preserve">P-11</t>
  </si>
  <si>
    <t xml:space="preserve">KLA-TENCOR P-11 PROFILER consisting of: - Model: P-11 Profiler (converted 
from P-12) - Up to 8"/200mm wafer capable - Computer controlled - Measures 
roughness, waviness, step height, and other surface characteristics - 
Automatic measurement capability - Measurement of vertical features ranging 
from under 100� (0.4 min.) to approximately 300 �m (11 mils), with a 
vertical resolution of 0.5, 2, or 10�. - Photo-realistic rendering of the 
scan data in three dimensions for extended surface analysis. - A virtually 
unlimited number of data points per profile guarantee that the horizontal 
resolution is limited by the stylus radius and not by the number of data 
points. - Measurement of many roughness and waviness parameters, with 
user-selectable cutoff filters to isolate roughness and waviness. - Ability 
to fit and level a scan, allowing accurate step height measurements on 
curved surfaces. - Ability to detect the edge or apex of a profile feature, 
allowing automated data analysis relative to the feature. - Ability to 
repeat a scan up to ten times and automatically calculate the average, 
thereby minimizing the effects of environmental noise on measurements. - 
Available for Full Inspection and Demonstration! - 6 Months Warranty on 
Parts and Labor (Stylus is not covered under warranty) KLA-Tencor P-11 can 
profile a variety of materials including: - Semiconductor wafers - 
Thin-film heads - Precision-machined and polished surfaces - Ceramics for 
micro-electronics - Glass for flat panel displays - Optical surfaces 
CONDITION: Excellent Condition Guaranteed. Fully Reconditioned to Factory 
Specifications. 6 Month Warranty and Full Specifications Guarantee. 30 Day 
Right of Return.</t>
  </si>
  <si>
    <t xml:space="preserve">103162</t>
  </si>
  <si>
    <t xml:space="preserve">P-15</t>
  </si>
  <si>
    <t xml:space="preserve">KLA-TENCOR P-15 PROFILER consisting of: - Model: P-15 Profiler (Upgraded 
from P11) - Up to 8"/200mm wafer capable - Computer controlled - Measures 
roughness, waviness, step height, and other surface characteristics - 
Automatic measurement capability - Measurement of vertical features ranging 
from under 100� (0.4 min.) to approximately 300 �m (11 mils), with a 
vertical resolution of 0.5, 2, or 10�. - Photo-realistic rendering of the 
scan data in three dimensions for extended surface analysis. - A virtually 
unlimited number of data points per profile guarantee that the horizontal 
resolution is limited by the stylus radius and not by the number of data 
points. - Measurement of many roughness and waviness parameters, with 
user-selectable cutoff filters to isolate roughness and waviness. - Ability 
to fit and level a scan, allowing accurate step height measurements on 
curved surfaces. - Ability to detect the edge or apex of a profile feature, 
allowing automated data analysis relative to the feature. - Ability to 
repeat a scan up to ten times and automatically calculate the average, 
thereby minimizing the effects of environmental noise on measurements. - 
Available for Full Inspection and Demonstration! - 6 Months Warranty on 
Parts and Labor (Stylus is not covered under warranty) KLA-Tencor P-15 can 
profile a variety of materials including: - Semiconductor wafers - 
Thin-film heads - Precision-machined and polished surfaces - Ceramics for 
micro-electronics - Glass for flat panel displays - Optical surfaces 
CONDITION: Excellent Condition Guaranteed. Fully Reconditioned to Factory 
Specifications. 6 Month Warranty and Full Specifications Guarantee. 30 Day 
Right of Return.</t>
  </si>
  <si>
    <t xml:space="preserve">100907</t>
  </si>
  <si>
    <t xml:space="preserve">SFX100</t>
  </si>
  <si>
    <t xml:space="preserve">Please check pictures beow for more information.</t>
  </si>
  <si>
    <t xml:space="preserve">98032</t>
  </si>
  <si>
    <t xml:space="preserve">98033</t>
  </si>
  <si>
    <t xml:space="preserve">SP1 TBI</t>
  </si>
  <si>
    <t xml:space="preserve">98034</t>
  </si>
  <si>
    <t xml:space="preserve">SP2 (Parts Missing)</t>
  </si>
  <si>
    <t xml:space="preserve">Darkfield Wafer Particle Detection System</t>
  </si>
  <si>
    <t xml:space="preserve">102987</t>
  </si>
  <si>
    <t xml:space="preserve">Wafer Surface Inspection System</t>
  </si>
  <si>
    <t xml:space="preserve">103164</t>
  </si>
  <si>
    <t xml:space="preserve">Surfscan 4000</t>
  </si>
  <si>
    <t xml:space="preserve">KLA-TENCOR SURFSCAN 4000 WAFER INSPECTION SYSTEM consisting of: - Model: 
Surfscan 4000 - Can handle from 2" up to 6"/150mm wafers - Submicron 
sensitivity, detects 0.360 micron particles or approximately 0.15 micron 
squared - Surface haze detected as low as 1.0 ppm. - Handles high 
scattering surfaces such as metals, polysilicon and cvd films. - Map 
locations and size available for each particle. - Refurbished and 
guaranteed to meet OEM specifications - New 17" LCD Monitor installed - 
Operations Manual and documentation</t>
  </si>
  <si>
    <t xml:space="preserve">103165</t>
  </si>
  <si>
    <t xml:space="preserve">KLA-TENCOR SURFSCAN 4500 INSPECTION SYSTEM consisting of: - Model 4500 Main 
System - Can handle from 2" up to 6"/150mm wafers - Submicron sensitivity, 
detects 0.2 micron particles - Surface haze detected as low as 0.4 ppm. - 
Handles high scattering surfaces such as metals, polysilicon and cvd films. 
- Map locations and size available for each particle. - Fully refurbished 
to meet factory specifications - New 17" LCD Monitor installed - Operations 
Manual and documentation Refurbished to Factory Specifications consisting 
of: - New Laser - New Belts - Clean or Replace Optics and Mirrors - System 
calibrated to OEM specifications with NIST Calibration Standard - Optics 
Alignment - Indexer sensor replacement - Vacuum line change out - New 17" 
LCD Monitor - 6 Month Warranty on Parts and Labor (Laser warranty is 12 
months or 5000 hours whichever comes first) CONDITION: Excellent Condition 
Guaranteed. Fully Reconditioned to Factory Specifications. 6 Month Warranty 
and Specifications Guarantee. 30 Day Right of Return.</t>
  </si>
  <si>
    <t xml:space="preserve">103166</t>
  </si>
  <si>
    <t xml:space="preserve">Surfscan 5000</t>
  </si>
  <si>
    <t xml:space="preserve">KLA-TENCOR SURFSCAN 5000 INSPECTION SYSTEM consisting of: - Model: Surfscan 
5000 - Can handle from 2" up to 8"/200mm wafers - Submicron sensitivity, 
detects 0.2 micron particles - Surface haze detected as low as 0.3 ppm. - 
Handles high scattering surfaces such as metals, polysilicon and cvd films. 
- Map locations and size available for each particle. - Fully refurbished 
to meet original Surfscan 5000 specifications - Operations Manual for KLA 
Surfscan 5000 Refurbished to Factory Specifications consisting of: - New 
Laser - New Belts - Clean or Replace Optics and Mirrors - System calibrated 
to KLA specifications with NIST Calibration Standard - Optics Alignment - 
Indexer sensor replacement - Vacuum line change out - New 17" LCD Monitor - 
6 months warranty - Guaranteed to meet Surfscan 5000 specifications</t>
  </si>
  <si>
    <t xml:space="preserve">102988</t>
  </si>
  <si>
    <t xml:space="preserve">101359</t>
  </si>
  <si>
    <t xml:space="preserve">KLA-Tencor 	</t>
  </si>
  <si>
    <t xml:space="preserve">Candela 8600</t>
  </si>
  <si>
    <t xml:space="preserve">96997</t>
  </si>
  <si>
    <t xml:space="preserve">Surfscan AIT 8020</t>
  </si>
  <si>
    <t xml:space="preserve">101731</t>
  </si>
  <si>
    <t xml:space="preserve">Kokusai</t>
  </si>
  <si>
    <t xml:space="preserve">CX-3000(DD-1223V)</t>
  </si>
  <si>
    <t xml:space="preserve">Vertical Furnace</t>
  </si>
  <si>
    <t xml:space="preserve">90149</t>
  </si>
  <si>
    <t xml:space="preserve">DD-1223 V-DF</t>
  </si>
  <si>
    <t xml:space="preserve">Vertical Furnace, Wet Oxidation</t>
  </si>
  <si>
    <t xml:space="preserve">102279</t>
  </si>
  <si>
    <t xml:space="preserve">DD-1223V</t>
  </si>
  <si>
    <t xml:space="preserve">Anneal, Cobalt</t>
  </si>
  <si>
    <t xml:space="preserve">91251</t>
  </si>
  <si>
    <t xml:space="preserve">DD-833V</t>
  </si>
  <si>
    <t xml:space="preserve">PYRO(HCL)</t>
  </si>
  <si>
    <t xml:space="preserve">103142</t>
  </si>
  <si>
    <t xml:space="preserve">DJ-1206VN</t>
  </si>
  <si>
    <t xml:space="preserve">102281</t>
  </si>
  <si>
    <t xml:space="preserve">DJ-1206VN-DM</t>
  </si>
  <si>
    <t xml:space="preserve">LPCVD SiN</t>
  </si>
  <si>
    <t xml:space="preserve">102282</t>
  </si>
  <si>
    <t xml:space="preserve">102280</t>
  </si>
  <si>
    <t xml:space="preserve">Specer Nitride,Smart batch</t>
  </si>
  <si>
    <t xml:space="preserve">90148</t>
  </si>
  <si>
    <t xml:space="preserve">DJ-1223 VN-DF</t>
  </si>
  <si>
    <t xml:space="preserve">Vertical Furnace, ALD Nitride</t>
  </si>
  <si>
    <t xml:space="preserve">98810</t>
  </si>
  <si>
    <t xml:space="preserve">DJ1206VN</t>
  </si>
  <si>
    <t xml:space="preserve">Diffusion Furnace</t>
  </si>
  <si>
    <t xml:space="preserve">102721</t>
  </si>
  <si>
    <t xml:space="preserve">Quixace II Nitride</t>
  </si>
  <si>
    <t xml:space="preserve">103101</t>
  </si>
  <si>
    <t xml:space="preserve">Quixace Ultimate ALD SiN</t>
  </si>
  <si>
    <t xml:space="preserve">Vertical Furnace – ALD Nitride</t>
  </si>
  <si>
    <t xml:space="preserve">DIFFUSION 11-3HIKE_QAU_ALDNIT_01 HIKE QUIXAULT ALDSIN</t>
  </si>
  <si>
    <t xml:space="preserve">102724</t>
  </si>
  <si>
    <t xml:space="preserve">Vertical Furnace ALD SIN</t>
  </si>
  <si>
    <t xml:space="preserve">102725</t>
  </si>
  <si>
    <t xml:space="preserve">91253</t>
  </si>
  <si>
    <t xml:space="preserve">KOKUSAI</t>
  </si>
  <si>
    <t xml:space="preserve">QUIXACE2</t>
  </si>
  <si>
    <t xml:space="preserve">ALD TiN</t>
  </si>
  <si>
    <t xml:space="preserve">91254</t>
  </si>
  <si>
    <t xml:space="preserve">102499</t>
  </si>
  <si>
    <t xml:space="preserve">Vertron  III</t>
  </si>
  <si>
    <t xml:space="preserve">Vertical Furnace Nitride</t>
  </si>
  <si>
    <t xml:space="preserve">Process: LPCVD Nitride Si3N4
SYSTEM CONTROLLER : CX2000
SECS/GEM COMMUNICATION
Load Station
WAFER SIZE : 8 Inch  
DUAL SMIF LOADER , ASYST LPT 2200
Cassette Loader Type: CX1209
PROCESS GASES (LPCVD / NITRIDE)
SiH2Cl2 , NH3
OTHER GASES : N2
PROCESS PRESSURE CONTROL SYSTEM:       
VACUUM PUMP  : EDWARDS iQDP80
DRY PUMP CAPACITY : QMB 1200
Vacuum Gauges: Edwards Model 1570
FORELINE SIZE : 80
PRESSURE CONTROLLER : CX1204
PRESSURE CONTROL METHODOLOGY : Close Loop  (PID)
PROCESS MANOMETER
PRESSURE DIFFERENTIAL MANOMETER
PUMP MANOMETER
INLINE COLDTRAP
EXHAUST CONTROLLER
Still installed in the cleanroom, but in warm shut down since Jan 2019.
See attached photos for details of current condition.</t>
  </si>
  <si>
    <t xml:space="preserve">102284</t>
  </si>
  <si>
    <t xml:space="preserve">VR-120SD</t>
  </si>
  <si>
    <t xml:space="preserve">Resistivity Measurement</t>
  </si>
  <si>
    <t xml:space="preserve">102731</t>
  </si>
  <si>
    <t xml:space="preserve">Zestone-III: DD-1223V</t>
  </si>
  <si>
    <t xml:space="preserve">Vertical Furnace Alloy</t>
  </si>
  <si>
    <t xml:space="preserve"> Installed - In Production Hard Disk DRIVE WILL BE REMOVED FROM TOOL.Other 
missing or damaged parts: none.Tube Material:Quartz Boat 
Material:Quartz(TwinBoat) Production wafes:125 Process Gas:N2(FS;50SLM) 
H2(FS;10SLM) MFC Maker:HITACHI-Metals MFC Model:FC-D980Series Process 
Temp:400-500deg</t>
  </si>
  <si>
    <t xml:space="preserve">102732</t>
  </si>
  <si>
    <t xml:space="preserve">Zestone-V(B) DD-1205V</t>
  </si>
  <si>
    <t xml:space="preserve">Vertical Furnace LP DOPE OXIDE</t>
  </si>
  <si>
    <t xml:space="preserve">Tool is operating in clean room.Shipping brackets and kits will need to be 
supplied by buyer.Buyer is responsible for arranging disassembly and 
rigging for tool. Equipment type: LP-DOPOSProcess: Doped polysiliconHeater: 
CarryProcess Condition: LPMaximum Operating Temperature(C):850℃N2 Load 
Lock:Load lock type N2 substitutionQty. of Production Wafers: 100Boat 
Operation (Handling Position): 1 Boat Type / 1 Boat Operation 
 (B/E)Gas(SLM):SiH4(4.000);PH3-1(0.300);N2-1(30.000):N2-2(0.500):N2-3(10.000):N2-4(5.000):N2-5(5.000):LLP-N2(200.000):O2(5.000):Clf3(5.000)Gas(sccm):PH-2(50.000):PH-3(50.000):PH-4(50.000):PH-5(50.000)</t>
  </si>
  <si>
    <t xml:space="preserve">102733</t>
  </si>
  <si>
    <t xml:space="preserve">Vertical Furnace LP Doped Poly Process</t>
  </si>
  <si>
    <t xml:space="preserve"> Used, In Warehouse - Not Crated Tool has been de-installed and is stored 
in an off-site warehouse.Other Missing or damaged parts: none. Equipment 
Type: Z-5Process: Doped polysiliconHeater: CarryProcess Condition: 
LPMaximum Operating Temperature(C):850℃N2 Load Lock:Load lock type N2 
substitutionQty. of Production Wafers: 100Boat Operation (Handling 
Position): 1 Boat Type / 1 Boat 
Operation (B/E)Gas(SLM):SiH4(4.000);PH3-1(0.300);N2-1(30.000):N2-2(0.500):N2-3(10.000):N2-4(5.000):N2-5(5.000):LLP-N2(200.000):O2(5.000):Clf3(5.000)Gas(sccm):PH-2(50.000):PH-3(50.000):PH-4(50.000):PH-5(50.000)</t>
  </si>
  <si>
    <t xml:space="preserve">102734</t>
  </si>
  <si>
    <t xml:space="preserve">Zestone-V(B) DJ-1205V</t>
  </si>
  <si>
    <t xml:space="preserve">Tool is operating in clean room.Shipping brackets and kits will need to be 
supplied by the buyer. .Equipment type: Z-5Process type: Doped PolyProcess: 
Doped polysiliconHeater: CarryProcess Condition: LPMaximum Operating 
Temperature(C):850℃N2 Load Lock:Load lock type N2 substitutionQty. of 
Production Wafers: 100Boat Operation (Handling Position): 1 Boat Type / 1 
Boat Operation 
 (B/E)Gas(SLM):SiH4(4.000);PH3-1(0.300);N2-1(30.000):N2-2(0.500):N2-3(10.000):N2-4(5.000):N2-5(5.000):LLP-N2(200.000):O2(5.000):Clf3(5.000)Gas(sccm):PH-2(50.000):PH-3(50.000):PH-4(50.000):PH-5(50.000)Missing 
or damaged parts: none.</t>
  </si>
  <si>
    <t xml:space="preserve">92959</t>
  </si>
  <si>
    <t xml:space="preserve">KOMATSU </t>
  </si>
  <si>
    <t xml:space="preserve">SPA-1821-A-4</t>
  </si>
  <si>
    <t xml:space="preserve">CHILLER</t>
  </si>
  <si>
    <t xml:space="preserve">92960</t>
  </si>
  <si>
    <t xml:space="preserve">SPA-1821-A-4M</t>
  </si>
  <si>
    <t xml:space="preserve">102995</t>
  </si>
  <si>
    <t xml:space="preserve">Kosaka Laboratory</t>
  </si>
  <si>
    <t xml:space="preserve">ET6100</t>
  </si>
  <si>
    <t xml:space="preserve">Alpha Step</t>
  </si>
  <si>
    <t xml:space="preserve">100034</t>
  </si>
  <si>
    <t xml:space="preserve">KOSES</t>
  </si>
  <si>
    <t xml:space="preserve">KLM405</t>
  </si>
  <si>
    <t xml:space="preserve">100035</t>
  </si>
  <si>
    <t xml:space="preserve">100036</t>
  </si>
  <si>
    <t xml:space="preserve">96006</t>
  </si>
  <si>
    <t xml:space="preserve">KLM610</t>
  </si>
  <si>
    <t xml:space="preserve">102970</t>
  </si>
  <si>
    <t xml:space="preserve">Koses</t>
  </si>
  <si>
    <t xml:space="preserve">KLM610 + SLD402G(GREEN)</t>
  </si>
  <si>
    <t xml:space="preserve">102994</t>
  </si>
  <si>
    <t xml:space="preserve">Kowa</t>
  </si>
  <si>
    <t xml:space="preserve">K-MSX-PV</t>
  </si>
  <si>
    <t xml:space="preserve">XRF</t>
  </si>
  <si>
    <t xml:space="preserve">97865</t>
  </si>
  <si>
    <t xml:space="preserve">KRUSS</t>
  </si>
  <si>
    <t xml:space="preserve">KRUSSDSA100</t>
  </si>
  <si>
    <t xml:space="preserve">CONTECT ANGLE MEASUREMENT</t>
  </si>
  <si>
    <t xml:space="preserve">88032</t>
  </si>
  <si>
    <t xml:space="preserve">KSI</t>
  </si>
  <si>
    <t xml:space="preserve">S1-1-1000</t>
  </si>
  <si>
    <t xml:space="preserve">103035</t>
  </si>
  <si>
    <t xml:space="preserve">Kurt J Lesker</t>
  </si>
  <si>
    <t xml:space="preserve">Vacuum Deposition Chamber</t>
  </si>
  <si>
    <t xml:space="preserve">Chamber was removed from a cluster tool that was used to make OLED parts. 
18" diameter chamber by 39" high. Substrate rotation feed through and 
motor. 9.5" ISO Flange. Five 2.75" Conflat viewports. Thirty 1" feed 
throughs in door. 8" diameter CF flange on back and 2.75" CF. Four 2.75" CF 
and one 4.5" CF on lid.</t>
  </si>
  <si>
    <t xml:space="preserve">88033</t>
  </si>
  <si>
    <t xml:space="preserve">KYOSAN</t>
  </si>
  <si>
    <t xml:space="preserve">15Z-S1</t>
  </si>
  <si>
    <t xml:space="preserve">88034</t>
  </si>
  <si>
    <t xml:space="preserve">15ZI-M</t>
  </si>
  <si>
    <t xml:space="preserve">88035</t>
  </si>
  <si>
    <t xml:space="preserve">HPK06ZI-TE7-SINGLE</t>
  </si>
  <si>
    <t xml:space="preserve">88036</t>
  </si>
  <si>
    <t xml:space="preserve">HPK15ZD</t>
  </si>
  <si>
    <t xml:space="preserve">88037</t>
  </si>
  <si>
    <t xml:space="preserve">JFK85TH-TC6</t>
  </si>
  <si>
    <t xml:space="preserve">87538</t>
  </si>
  <si>
    <t xml:space="preserve">LABCONCO</t>
  </si>
  <si>
    <t xml:space="preserve">Protector</t>
  </si>
  <si>
    <t xml:space="preserve">Laboratory Fume Hood and Cabinet with Sink </t>
  </si>
  <si>
    <t xml:space="preserve">Sold as-is, working condition
 </t>
  </si>
  <si>
    <t xml:space="preserve">88038</t>
  </si>
  <si>
    <t xml:space="preserve">LAM</t>
  </si>
  <si>
    <t xml:space="preserve">27-352799-00</t>
  </si>
  <si>
    <t xml:space="preserve">88039</t>
  </si>
  <si>
    <t xml:space="preserve">27-389171</t>
  </si>
  <si>
    <t xml:space="preserve">88040</t>
  </si>
  <si>
    <t xml:space="preserve">685-002-302-003</t>
  </si>
  <si>
    <t xml:space="preserve">88041</t>
  </si>
  <si>
    <t xml:space="preserve">832-038915-103</t>
  </si>
  <si>
    <t xml:space="preserve">88042</t>
  </si>
  <si>
    <t xml:space="preserve">832-038915-203</t>
  </si>
  <si>
    <t xml:space="preserve">88043</t>
  </si>
  <si>
    <t xml:space="preserve">832-157607-001</t>
  </si>
  <si>
    <t xml:space="preserve">88044</t>
  </si>
  <si>
    <t xml:space="preserve">853-040482-502</t>
  </si>
  <si>
    <t xml:space="preserve">88045</t>
  </si>
  <si>
    <t xml:space="preserve">853-040482-600</t>
  </si>
  <si>
    <t xml:space="preserve">88046</t>
  </si>
  <si>
    <t xml:space="preserve">853-043759-218</t>
  </si>
  <si>
    <t xml:space="preserve">88047</t>
  </si>
  <si>
    <t xml:space="preserve">853-085372-114</t>
  </si>
  <si>
    <t xml:space="preserve">88048</t>
  </si>
  <si>
    <t xml:space="preserve">853-085375-015</t>
  </si>
  <si>
    <t xml:space="preserve">102285</t>
  </si>
  <si>
    <t xml:space="preserve">Lam Research</t>
  </si>
  <si>
    <t xml:space="preserve">2300 ELD</t>
  </si>
  <si>
    <t xml:space="preserve">ELD WcoP Electroless Deposition</t>
  </si>
  <si>
    <t xml:space="preserve">102286</t>
  </si>
  <si>
    <t xml:space="preserve">103102</t>
  </si>
  <si>
    <t xml:space="preserve">LAM Research</t>
  </si>
  <si>
    <t xml:space="preserve">2300 Exelan</t>
  </si>
  <si>
    <t xml:space="preserve">DRY ETCH 11-3LAM_EXELAN_CU_04 LAM EXELAN CUOX</t>
  </si>
  <si>
    <t xml:space="preserve">103103</t>
  </si>
  <si>
    <t xml:space="preserve">DRY ETCH 11-3LAM_EXELAN_OX_04 LAM EXELAN CUOX</t>
  </si>
  <si>
    <t xml:space="preserve">91318</t>
  </si>
  <si>
    <t xml:space="preserve">2300 Exelan Chamber Only</t>
  </si>
  <si>
    <t xml:space="preserve">OXIDE ETCH</t>
  </si>
  <si>
    <t xml:space="preserve">102735</t>
  </si>
  <si>
    <t xml:space="preserve">2300 Exelan Flex</t>
  </si>
  <si>
    <t xml:space="preserve">Dielectric Etch Oxide</t>
  </si>
  <si>
    <t xml:space="preserve">102736</t>
  </si>
  <si>
    <t xml:space="preserve">102287</t>
  </si>
  <si>
    <t xml:space="preserve">102737</t>
  </si>
  <si>
    <t xml:space="preserve">2300 Exelan Flex EX+ - Chamber Only</t>
  </si>
  <si>
    <t xml:space="preserve">Dielectric Etch chambers qty 3</t>
  </si>
  <si>
    <t xml:space="preserve"> Used, In Warehouse - Not Crated Sale of package for Qty 3 pcs of 2300 
Exelan Flex EX+ - Chambers OnlyOther Missing or damaged parts: 
none.[Process Module 1]Chamber type:Flex EX PlusGas config.(sccm)=MFC full 
scaleC4F8(50)/CF4(200)/O2(3000)/Ar(1000)/CO(500)/CH3F(100)/O2(30)/CHF3(100)/O2(300)/Xe(500)/C4F6(50)/CH2F2(100)/O2(10)Source 60MHz 
2500W/27MHz 3000W/2MHz 8500WLid Temp Control ~140℃ESC Temp Control 
~60℃[Process Module 1]Chamber type:Flex EX PlusGas config.(sccm)=MFC full 
scaleC4F8(50)/CF4(200)/O2(3000)/Ar(1000)/CO(500)/CH3F(100)/O2(30)/CHF3(100)/O2(300)/Xe(500)/C4F6(50)/CH2F2(100)/O2(10)Source 60MHz 
2500W/27MHz 3000W/2MHz 8500WLid Temp Control ~140℃ESC Temp Control 
~60℃[Process Module 1]Chamber type:Flex EX PlusGas config.(sccm)=MFC full 
scaleC4F8(50)/CF4(200)/O2(3000)/Ar(1000)/CO(500)/CH3F(100)/O2(30)/CHF3(100)/O2(300)/Xe(500)/C4F6(50)/CH2F2(100)/O2(10)Source 60MHz 
2500W/27MHz 3000W/2MHz 8500WLid Temp Control ~140℃ESC Temp Control ~60℃</t>
  </si>
  <si>
    <t xml:space="preserve">103104</t>
  </si>
  <si>
    <t xml:space="preserve">2300 Exelan Flex FX</t>
  </si>
  <si>
    <t xml:space="preserve"> DRY ETCH 11-3LAM_FLEXFX_OX_05HM LAM FLEXFX OX 2300 Exelan Flex FX</t>
  </si>
  <si>
    <t xml:space="preserve">103105</t>
  </si>
  <si>
    <t xml:space="preserve"> DRY ETCH 11-3LAM_FLEXFX_OX_05CONCT49 LAM FLEXFX OX 2300 Exelan Flex FX</t>
  </si>
  <si>
    <t xml:space="preserve">91319</t>
  </si>
  <si>
    <t xml:space="preserve">2300 Exelan SYSTEM</t>
  </si>
  <si>
    <t xml:space="preserve">97004</t>
  </si>
  <si>
    <t xml:space="preserve">LAM RESEARCH</t>
  </si>
  <si>
    <t xml:space="preserve">2300 Metal 45</t>
  </si>
  <si>
    <t xml:space="preserve">Process Chamber (For Spares Use)</t>
  </si>
  <si>
    <t xml:space="preserve">98276</t>
  </si>
  <si>
    <t xml:space="preserve">2300 MWAVE STRPR</t>
  </si>
  <si>
    <t xml:space="preserve">Asher/Stripper</t>
  </si>
  <si>
    <t xml:space="preserve">98277</t>
  </si>
  <si>
    <t xml:space="preserve">98278</t>
  </si>
  <si>
    <t xml:space="preserve">103106</t>
  </si>
  <si>
    <t xml:space="preserve">2300 Versys Metal - Chamber Only</t>
  </si>
  <si>
    <t xml:space="preserve">The equipment already de-hookup and store in fab temporary area. -</t>
  </si>
  <si>
    <t xml:space="preserve">103107</t>
  </si>
  <si>
    <t xml:space="preserve">103108</t>
  </si>
  <si>
    <t xml:space="preserve">The equipment already de-hookup and store in fab temporary area. Turbo pump 
is missing with storage cart and accessories, left only the turbo pump 
controller. -</t>
  </si>
  <si>
    <t xml:space="preserve">103109</t>
  </si>
  <si>
    <t xml:space="preserve">101652</t>
  </si>
  <si>
    <t xml:space="preserve">718-094523-281</t>
  </si>
  <si>
    <t xml:space="preserve">9400 8" ESC-(718-094523-281)</t>
  </si>
  <si>
    <t xml:space="preserve">101653</t>
  </si>
  <si>
    <t xml:space="preserve">101654</t>
  </si>
  <si>
    <t xml:space="preserve">810-800081-014</t>
  </si>
  <si>
    <t xml:space="preserve">P2 MOTHERBOARD PCB-(PN:810-800081-014)</t>
  </si>
  <si>
    <t xml:space="preserve">8"~12" Lam metal/kiyo/exelan</t>
  </si>
  <si>
    <t xml:space="preserve">101655</t>
  </si>
  <si>
    <t xml:space="preserve">810-800081-015 REV.D</t>
  </si>
  <si>
    <t xml:space="preserve">P2 MB Motherboard VME Etch Assembly PCB Board</t>
  </si>
  <si>
    <t xml:space="preserve">101656</t>
  </si>
  <si>
    <t xml:space="preserve">810-800082-009</t>
  </si>
  <si>
    <t xml:space="preserve">VME BREAKOUT PCB-(PN:810-800082-009)</t>
  </si>
  <si>
    <t xml:space="preserve">101657</t>
  </si>
  <si>
    <t xml:space="preserve">839-019090-374</t>
  </si>
  <si>
    <t xml:space="preserve">Research Kiyo 12" ESC (TYPE:374)</t>
  </si>
  <si>
    <t xml:space="preserve">101658</t>
  </si>
  <si>
    <t xml:space="preserve">839-019090-577</t>
  </si>
  <si>
    <t xml:space="preserve">Kiyo 12" ESC-(Type: 577)</t>
  </si>
  <si>
    <t xml:space="preserve">101659</t>
  </si>
  <si>
    <t xml:space="preserve">853-040482-525</t>
  </si>
  <si>
    <t xml:space="preserve">ENCL,MATCH,LWR,2-27-60MHZ,SF,CT  RF AUTOMATCH</t>
  </si>
  <si>
    <t xml:space="preserve">101660</t>
  </si>
  <si>
    <t xml:space="preserve">853-041348-780</t>
  </si>
  <si>
    <t xml:space="preserve">ASSY,ENCL,AC/DC,FLEX FL/FS-(PN:853-041348-780)</t>
  </si>
  <si>
    <t xml:space="preserve">101661</t>
  </si>
  <si>
    <t xml:space="preserve">853-041348-781</t>
  </si>
  <si>
    <t xml:space="preserve">ASSY,ENCL,AC/DC,FLEX FL/FS-(PN:853-041348-781)</t>
  </si>
  <si>
    <t xml:space="preserve">101662</t>
  </si>
  <si>
    <t xml:space="preserve">853-042958-232</t>
  </si>
  <si>
    <t xml:space="preserve">VME RACK-(PN:853-042958-232)</t>
  </si>
  <si>
    <t xml:space="preserve">8"~12" Lam kiyoEX</t>
  </si>
  <si>
    <t xml:space="preserve">101663</t>
  </si>
  <si>
    <t xml:space="preserve">ASSY,ENCL,TESC,RF FLTR QUAD</t>
  </si>
  <si>
    <t xml:space="preserve">101664</t>
  </si>
  <si>
    <t xml:space="preserve">ASSY,ENCL,TER, RF FLTR</t>
  </si>
  <si>
    <t xml:space="preserve">100919</t>
  </si>
  <si>
    <t xml:space="preserve">ALTUS</t>
  </si>
  <si>
    <t xml:space="preserve">100920</t>
  </si>
  <si>
    <t xml:space="preserve">100921</t>
  </si>
  <si>
    <t xml:space="preserve">ALTUS </t>
  </si>
  <si>
    <t xml:space="preserve">102288</t>
  </si>
  <si>
    <t xml:space="preserve">DSS200</t>
  </si>
  <si>
    <t xml:space="preserve">Post CMP Scrubber Track</t>
  </si>
  <si>
    <t xml:space="preserve">91320</t>
  </si>
  <si>
    <t xml:space="preserve">EXELAN 2300</t>
  </si>
  <si>
    <t xml:space="preserve">OXIDE ETCH </t>
  </si>
  <si>
    <t xml:space="preserve">100922</t>
  </si>
  <si>
    <t xml:space="preserve">FLEX FX</t>
  </si>
  <si>
    <t xml:space="preserve">98279</t>
  </si>
  <si>
    <t xml:space="preserve">FLEX GX E6</t>
  </si>
  <si>
    <t xml:space="preserve">98280</t>
  </si>
  <si>
    <t xml:space="preserve">91322</t>
  </si>
  <si>
    <t xml:space="preserve">LAM 4520</t>
  </si>
  <si>
    <t xml:space="preserve">91323</t>
  </si>
  <si>
    <t xml:space="preserve">91324</t>
  </si>
  <si>
    <t xml:space="preserve">91325</t>
  </si>
  <si>
    <t xml:space="preserve">91326</t>
  </si>
  <si>
    <t xml:space="preserve">LAM 4528</t>
  </si>
  <si>
    <t xml:space="preserve">98473</t>
  </si>
  <si>
    <t xml:space="preserve">Ontrak DSS-200</t>
  </si>
  <si>
    <t xml:space="preserve">Post CMP cleaner</t>
  </si>
  <si>
    <t xml:space="preserve">Deinstalled, warehoused. Can be inspected by appointment
Tool was perfectly running before shutdown.
Refurbishment avaiable.
Please check pictures below for more information.</t>
  </si>
  <si>
    <t xml:space="preserve">94581</t>
  </si>
  <si>
    <t xml:space="preserve">Rainbow 4520 (ENVISION)</t>
  </si>
  <si>
    <t xml:space="preserve">De-installed, warehoused. Can be inspected by appointment
Please check pictures below for more information and specifications</t>
  </si>
  <si>
    <t xml:space="preserve">102749</t>
  </si>
  <si>
    <t xml:space="preserve">Rainbow 4720</t>
  </si>
  <si>
    <t xml:space="preserve">Metal Etch Envision</t>
  </si>
  <si>
    <t xml:space="preserve">Software Type is Lam Envision.All the cables are present.Etcher mainframe 
type is Rainbow.The Electrostatic Chuck / Signal Lamp Tower / Built-In SMIF 
/ Endpoint Detection System are include.The Equipment Rainbow Mainframe 
include Autoloader / Built-In Hepa Filter / Orbitally Welded Gas Box / 
Backside Helium Cooling / Heated Pumping Manifolds / On-Board RF Generators 
/ Remote RF Cart / Remote Gas Box / Remote Operator Interface / Remote AC 
Box / Atmospheric Passivation Module / High Condctance Manifold.</t>
  </si>
  <si>
    <t xml:space="preserve">93038</t>
  </si>
  <si>
    <t xml:space="preserve">RAINBOW4500</t>
  </si>
  <si>
    <t xml:space="preserve">102491</t>
  </si>
  <si>
    <t xml:space="preserve">Manufacturer 	Model 	Description 	Quantity
Lam Research 	605-048878-001 FLASH VER 0.1 	VME7671 	3
Lam Research 	810-099175-009 REV B 	VIOP,PHASE 3 	1
Lam Research 	810-099175-011 REV B 	VIOP,PHASE 3 	1
Lam Research 	810-099175-011 REV A 	VIOP,PHASE 3 	1
Lam Research 	605-707109-001 	LONTALK NETWORK INTERFACE ASSY B105-0102 REV 
D VME-LTNI-S3 	5
Lam Research 	810-068158-001 	ROBOT INTERFACE 	1
Lam Research 	810-072903-004 REV G 	LONWORKS , PIO 	1
Lam Research 	880-012536-101.A1 	SYS68K/SASI-1 CPU // 880-12536-101.A1 	1
Lam Research 	880-012537-101.A3 	SYS68K/CPU-6VB // 880-12537-101.A3 	1
Lam Research 	810-017038-002 	SYS68K/SIO-2 REV.2 / SERIAL I/O BOARD 	1
Lam Research 	810-017031-004 	ADIO 	9
Lam Research 	810-017075-003 	Gas Panel Interlock PCB 	1
Lam Research 	810-015932-001 	PCB DIP Autotune Low Frequency 	2
Lam Research 	810-017082-001 	16 CHANNEL HEAT/COOL BD 	1
Lam Research 	810-017003-004 	PCB DIP High Frequency PCB Board 	5
Lam Research 	810-073479-005 REV A 	JETSTREAM GAS BOX MB 	2
Lam Research 	810-031325-002 REV B 	16 IGS MOTHER BOARD , DGF 	1
Lam Research 	810-810193-103 REV C 	MOTHER BOARD , VTM 	2
Lam Research 	810-800081-015 REV D 	P2 MB , VME ETCH 	1
Lam Research 	810-800082-029 REV A 	VME BREAKOUT , KIYO45 	1
Lam Research 	810-800082-029 REV. B 810-800081-013 REV. A 101VMEJ106-9001 
REV. B 	VME BREAKOUT , KIYO45 P2 MB, VME BUS TRONIC ASSY 	2
Lam Research 	853-330476-001 	ASSY , RF FILTER , ESC , 9600 (NEW) 	1
Lam Research 	PCB 000-061 REV M 	38A Elevator PCB 	1
Lam Research 	810-800256-004 REV E 	NODE BOARD,TYPE 3 	1
Lam Research 	810-800256-004 REV G 	NODE BOARD,TYPE 3 	1
Lam Research 	810-800256-004 REV F 	NODE BOARD,TYPE 3 	2
Lam Research 	810-000839-003 REV B 	ESC CURRENT MONITOR 	1
Lam Research 	810-017015-001 REV A 	WAFER EDGE SENSOR 	1
Lam Research 	810-017016-001 REV E 	STEPPER MOTOR DRIVER BD 	3
Lam Research 	853-190023-001 REV A 	Controller Assembly 272072-00 	1
Lam Research 	AC-2 	Tylan General AdapTorr AC-2 Controller 	1
Lam Research 	514-220001-002 	PT CONTROL 	1
Lam Research 	38A ELEVATOR 	  	1
Lam Research 	810-801130-005 	PCB, Assy TC &amp; RTD 	1
Lam Research 	810-102361-222 	CHAMBER MUX 	1
Lam Research 	853-064887-010 	13.56 MHz RF Source Unit 	1
Lam Research 	810-048219-021 	Pluse SMPL &amp; Hold W/SYNC OUT 	1
Lam Research 	810-802969-002 	300mm Heater Filter 	2
Lam Research 	810-225420-002 	PCBA, Lonworks, 6 Port RS-232, NODE 	2
Lam Research 	853-038269-638 	  	1
Lam Research 	853-038269-653 	  	1
Lam Research 	853-067076-012 + 839-046079-024 C 	  	2
Lam Research 	715-800332-028 	  	2
Lam Research 	716-084752-023 	  	1
Lam Research 	715-022497-020 + 790-022847-003 	  	2
Lam Research 	LR853-002499-200 	  	2
Lam Research 	853-004605-005 	  	2
Lam Research 	795-066541-001~005 	  	2
Lam Research 	853-017276-008 	  	2
Lam Research 	839-004572-015 + 713-004567-001 	  	2
Lam Research 	853-020809-014 	  	2
Lam Research 	853-226429-001 	  	2
Lam Research 	714-025644-013A 	  	2
Lam Research 	839-101870-002 	  	2
Lam Research 	  	CVBA-500BC/5-BEA-L 5-500pF 513KV 	2</t>
  </si>
  <si>
    <t xml:space="preserve">102492</t>
  </si>
  <si>
    <t xml:space="preserve">91328</t>
  </si>
  <si>
    <t xml:space="preserve">STAR Chamber Only</t>
  </si>
  <si>
    <t xml:space="preserve">DRY ETCH</t>
  </si>
  <si>
    <t xml:space="preserve">102289</t>
  </si>
  <si>
    <t xml:space="preserve">Strip45 Chamber</t>
  </si>
  <si>
    <t xml:space="preserve">chamber</t>
  </si>
  <si>
    <t xml:space="preserve">102568</t>
  </si>
  <si>
    <t xml:space="preserve">TORUS 300K</t>
  </si>
  <si>
    <t xml:space="preserve">102569</t>
  </si>
  <si>
    <t xml:space="preserve">TORUS 300S</t>
  </si>
  <si>
    <t xml:space="preserve">98612</t>
  </si>
  <si>
    <t xml:space="preserve">VECTOR EXPRESS</t>
  </si>
  <si>
    <t xml:space="preserve">100037</t>
  </si>
  <si>
    <t xml:space="preserve">Vector Express</t>
  </si>
  <si>
    <t xml:space="preserve">91024</t>
  </si>
  <si>
    <t xml:space="preserve">PECVD Deposition system</t>
  </si>
  <si>
    <r>
      <rPr>
        <sz val="8"/>
        <rFont val="Arial"/>
        <family val="0"/>
        <charset val="1"/>
      </rPr>
      <t xml:space="preserve">De-installed, warehoused. Inspection is available by appointment.The Lam 
Vector Express product is a PECVD (Plasma enhanced chemical vapor 
deposition) cluster tool platform, launched in 2007. The tool is designed 
for use at the 45 nm node and beyond. Features: multi-station sequential 
processing, 0.08 um particle size for 500 A TEOS oxide, 20% improved wafer 
handling speed, can be used for depositing all films used in the dual 
damascene process.
Configuration:-
Serial Number: D22xxxx Mfg. Date: 2011
Wafer Size: 300mm
Basic System (CARBON)
WTS(backbone) Facilities Connection Configuration: Bottom Facilities 
Installation
Factory Automation Interface (Over Head Transport): 04-146654-00 KIT,E84 
COMPATABILITY,VCTR 2 FOUP or 3 FOUP Front End Interface: 2 FOUP (Brooks 
Fixports)
Fixload FOUP RF ID Reader: Omron V640 (2 FOUP) Fixload Firmware: Rev 
2.8.2.9
IMM Ready (Integrated Metrology): IMM Ready Orientation Left, BUCVD00007A 
Left Mount
Front End (backbone):
ATM Robot &amp; Controller
ATM Robot Firmware (for friction end effector): WAVE2, 1.0T, Use with 
Friction end effector, 75-294243-00 ATM Robot End Effector (Friction Type): 
75-378690-00 (v 1.49 for use with Friction End Effector)
Loadlock Motion Controller/Firmware: CNTRLR,TWO-AXIS,TRUST,2.84S,C3VCTR AHM 
Loadlock Pump: 04-322836-00 KIT,SINGLE KASHIYAMA NV60 LL PUMP,C3VCTR AHM XT
Loadlock to Atmosphere Valve (VAT L-Motion): 60-376512-00 
VALVE,GATE,MONOVAT,50X336,LL,OUTER DR,WT VAT L-motion Oring Type: Viton 
(Bonded, replace entire door)
Loadlock to Chamber Valve (SMC Valve): 63-335469-00 
VALVE,GATE,300MM,PNEU,BONDED GT 639,SMC SMC Chamber Oring Type: 
60-300514-00 GATE,BONDED,300MM,SMC L-MOTION, CHEMRAZ
Cooling Pedestals in Loadlocks: 02-277727-01 Right 02-277727-02 Left Active 
Wafer Centering with IMM Mount: 02-269945-00 (LED type)
EBR cool Ped: 02-376062-00 PED ASSY,COOL,EBR 1.5,C3VCTR AHM EBR IOC: 
02-303084-00 ASSY,HDSIOC3,EBR,C3VCTR
EBR Deflector: 15-322724-02 FORK,MTG,DEFLECTOR,EBR,SLOT
EBR Deflector Quartz: 15-374248-00 COVER,DFLCTR,QUARTZ,NO HOLES,VCTR,EBR 
EBR Gen: 27-366349-00 GEN,GAS,8.0KW,AX7690X,EBR
Required Software Revisions:
Module Controller Type: 02-321865-00 MC3R System Controller Type: 
02-321865-00 MC3R System Software (Proteus): Ver 2.625 B27 System Software 
(QNX): Ver_6.05_B29
SIOC #0: 02-321646-00 ASSY,HDSIOC0,VECTOR
SIOC #0 Firmware: Version 5.0
SIOC #1: 02-321647-00 ASSY,HDSIOC1,VECTOR
SIOC #1 Firmware: Version 5.0
SIOC #2: 02-321648-00 ASSY,HDSIOC2,VECTOR
SIOC #2 Firmware: Version 5.0 Windows Version: Windows 2000 Hardware 
Configuration:
Shower Head Assembly (13 inch): 16-366826-00 SHWRHD,300MM,15" DIA,TC,SNGL 
PC STM,AHM Pedestal Position #1: 02-317598-00 PED ASSY,ST1-4,HI TEMP,ALN 
CERAMIC,C3VCT
Pedestal Position #2-4 (w/o lift pin holes): 02-375616-00 PED 
ASSY,CERAMIC,2 ZN,NO PINS,C3VCTR AHM
Captured Lift-Pin Assembly: 15-324069-00 PLATE</t>
    </r>
    <r>
      <rPr>
        <sz val="8"/>
        <rFont val="Noto Sans CJK SC"/>
        <family val="2"/>
        <charset val="1"/>
      </rPr>
      <t xml:space="preserve">，</t>
    </r>
    <r>
      <rPr>
        <sz val="8"/>
        <rFont val="Arial"/>
        <family val="0"/>
        <charset val="1"/>
      </rPr>
      <t xml:space="preserve">LIFT PIN</t>
    </r>
    <r>
      <rPr>
        <sz val="8"/>
        <rFont val="Noto Sans CJK SC"/>
        <family val="2"/>
        <charset val="1"/>
      </rPr>
      <t xml:space="preserve">，</t>
    </r>
    <r>
      <rPr>
        <sz val="8"/>
        <rFont val="Arial"/>
        <family val="0"/>
        <charset val="1"/>
      </rPr>
      <t xml:space="preserve">CAPTURED</t>
    </r>
    <r>
      <rPr>
        <sz val="8"/>
        <rFont val="Noto Sans CJK SC"/>
        <family val="2"/>
        <charset val="1"/>
      </rPr>
      <t xml:space="preserve">，</t>
    </r>
    <r>
      <rPr>
        <sz val="8"/>
        <rFont val="Arial"/>
        <family val="0"/>
        <charset val="1"/>
      </rPr>
      <t xml:space="preserve">AHM
Remote Plasma Clean Power Supply: 27-324553-00 GENERATOR,PLASMA 
SOURCE,400KHZ,HF-S,CDA IR Endpoint Controller: 27-356649-00 
CNTRLR,RMU,IREPD,PROC SNS,VIRTWL
RF HF Generator: 2 Kilowatt: 27-372675-00 13.5MHZ,AXR-2000III-B-NVLK
RF LF Generator: 2.75 Kilowatt : 27-316462-00 LOW 
FREQUENCY,2750.0W,CLX2750, HF RF Match Network: 27-367855-00 
MATCH,13.56MHZ,5KW,COMET,24V DC
LF RF Match Network: 27-359860-00 MATCH,400 KHZ,FIXED, RESISTIVE+CAPACITIVE 
High Speed Spindle: 02-381489-00 SPINDLE ASSY,WATER+GAS COOL,C3VCTR AHM
Leak Check Shutoff Valve for Process Module: 04-166504-00 KIT,LEAK CHECK 
PORT,VECTOR Transfer Plate: 15-287724-00 FORK,XFER PLATE,ALN PED
Pendulum Valve Assembly (Pressure Control Valve): 04-146459-00 KIT</t>
    </r>
    <r>
      <rPr>
        <sz val="8"/>
        <rFont val="Noto Sans CJK SC"/>
        <family val="2"/>
        <charset val="1"/>
      </rPr>
      <t xml:space="preserve">，</t>
    </r>
    <r>
      <rPr>
        <sz val="8"/>
        <rFont val="Arial"/>
        <family val="0"/>
        <charset val="1"/>
      </rPr>
      <t xml:space="preserve">HEATED 
PENDULUM VALVE</t>
    </r>
    <r>
      <rPr>
        <sz val="8"/>
        <rFont val="Noto Sans CJK SC"/>
        <family val="2"/>
        <charset val="1"/>
      </rPr>
      <t xml:space="preserve">，</t>
    </r>
    <r>
      <rPr>
        <sz val="8"/>
        <rFont val="Arial"/>
        <family val="0"/>
        <charset val="1"/>
      </rPr>
      <t xml:space="preserve">VCTR
Pendulum (Controller/Firmware): 65PM-3K.12
Pendulum Valve Oring Type: 04-274919-00 (Chemraz 8085 gate oring * 2; 
sealing Viton orings) Baratron: Loadlocks: 27-126062-00 MANO,10 
TORR,DSUB,1/2 VCR
Baratron 1: Process Module: 27-10343-00 MKS 627A11TBC (27-10343-00), 10T 
heated Baratron 2: Process Module: 27-126667-00 MKS 750B13TCE2GK, 1000T
Pressure Digital Display: 02-261354-00
ASSY</t>
    </r>
    <r>
      <rPr>
        <sz val="8"/>
        <rFont val="Noto Sans CJK SC"/>
        <family val="2"/>
        <charset val="1"/>
      </rPr>
      <t xml:space="preserve">，</t>
    </r>
    <r>
      <rPr>
        <sz val="8"/>
        <rFont val="Arial"/>
        <family val="0"/>
        <charset val="1"/>
      </rPr>
      <t xml:space="preserve">HASTINGS GAUGE</t>
    </r>
    <r>
      <rPr>
        <sz val="8"/>
        <rFont val="Noto Sans CJK SC"/>
        <family val="2"/>
        <charset val="1"/>
      </rPr>
      <t xml:space="preserve">，  </t>
    </r>
    <r>
      <rPr>
        <sz val="8"/>
        <rFont val="Arial"/>
        <family val="0"/>
        <charset val="1"/>
      </rPr>
      <t xml:space="preserve">DIGITAL METER
Gas Panel:
MFC 1: Aera TC-FCD980C SiH4 1.5 SLM MFC 2: Aera TC-FCD981SBC N2 10SLM MFC 
3: Aera TC-FCD981SBC C2H2 5.5 SLM MFC 4: Aera TC-FCD981SBC H2 10 SLM MFC 5: 
Aera TC-FCD981SBC He 20 SLM MFC 7: Aera TC-FCD982C N2O 25 SLM MFC 8: Aera 
TC-FCD981SBC O2 25SLM MFC 9: Aera TC-FCD980C NF3 3 SLM
MFC B: Aera TC-FCD981SBC N2 10 SLM MFC C: Aera TC-FCD982C Ar 35SLM MFC D: 
Aera TC-FCD980C Ar 5SLM
Abatement System: Model: 4x-inlet Vendor: DAS
Heat wrap: YES(100℃)
Ozonator:
Ozonator Model: N/A Ozonator Vendor: N/A Ozonator Controller: N/A
Neslab Vendor: N/A Heat Exchanger: Model: N/A
Vendor: N/A
Process Chamber Pump: Model: iXH3030T Vendor: BOC Edwards
Heater Jacket @foreline: YES
Heater Jacket @ exhaust to scrubber: YES
</t>
    </r>
  </si>
  <si>
    <t xml:space="preserve">102607</t>
  </si>
  <si>
    <t xml:space="preserve">LAM Research  </t>
  </si>
  <si>
    <t xml:space="preserve">TCP 9600</t>
  </si>
  <si>
    <t xml:space="preserve">Dry Etching System</t>
  </si>
  <si>
    <t xml:space="preserve">101665</t>
  </si>
  <si>
    <t xml:space="preserve">LAM/MKS</t>
  </si>
  <si>
    <t xml:space="preserve">LAM:660-072825-625 MKS:LVG3527A-11BA-05</t>
  </si>
  <si>
    <t xml:space="preserve">27MHz RF Generator</t>
  </si>
  <si>
    <t xml:space="preserve">101666</t>
  </si>
  <si>
    <t xml:space="preserve">LAM:660-124460R635 MKS:C5002-05</t>
  </si>
  <si>
    <t xml:space="preserve">2MHz RF Generator</t>
  </si>
  <si>
    <t xml:space="preserve">94475</t>
  </si>
  <si>
    <t xml:space="preserve">LASERTEC</t>
  </si>
  <si>
    <t xml:space="preserve">BGM300</t>
  </si>
  <si>
    <t xml:space="preserve">Wafer Surface Analyzing and VIsualization System</t>
  </si>
  <si>
    <t xml:space="preserve">100038</t>
  </si>
  <si>
    <t xml:space="preserve">Laurier</t>
  </si>
  <si>
    <t xml:space="preserve">DS-900</t>
  </si>
  <si>
    <t xml:space="preserve">Die Sorter</t>
  </si>
  <si>
    <t xml:space="preserve">102628</t>
  </si>
  <si>
    <t xml:space="preserve">LAURIER</t>
  </si>
  <si>
    <t xml:space="preserve">DS9000</t>
  </si>
  <si>
    <t xml:space="preserve">87539</t>
  </si>
  <si>
    <t xml:space="preserve">LEATHERWOOD</t>
  </si>
  <si>
    <t xml:space="preserve">LPD333.FR4.FT</t>
  </si>
  <si>
    <t xml:space="preserve">Semi-Auto Automated 6' Acid Wet Bench, for up to 6" Wafers, Excellent Condition</t>
  </si>
  <si>
    <t xml:space="preserve">Wafer Size Range    
  Minimum     75 mm
  Maximum     150 mm
  Set Size     150 mm
Number of Positions     3
Number of Robots     1
Automatic Wafer Transfer     YES
Controller Type     PLC Controller Type</t>
  </si>
  <si>
    <t xml:space="preserve">87540</t>
  </si>
  <si>
    <t xml:space="preserve">LPJ333.SS.ADFTX</t>
  </si>
  <si>
    <t xml:space="preserve">Semi-Auto 6' Solvent Wet Bench, for up to 6" Wafers, Excellent Condition</t>
  </si>
  <si>
    <t xml:space="preserve">Wafer Size Range    
  Minimum     75 mm
  Maximum     150 mm
  Set Size     150 mm
Number of Robots     1
Automatic Wafer Transfer     YES
Condition     Like New</t>
  </si>
  <si>
    <t xml:space="preserve">102971</t>
  </si>
  <si>
    <t xml:space="preserve">LEICA</t>
  </si>
  <si>
    <t xml:space="preserve">EM_TIC3X</t>
  </si>
  <si>
    <t xml:space="preserve">Ion Beam MILLING SYSTEM FOR TEM SAMPLE PREPARATION</t>
  </si>
  <si>
    <t xml:space="preserve">The Triple Ion Beam Milling System, EM TIC 3X allows production of cross 
sections and planar surfaces for Scanning Electron Microscopy (SEM), 
Microstructure Analysis (EDS, WDS, Auger, EBSD) and, AFM investigations. 
With the EM TIC 3X you achieve high quality surfaces of almost any material 
at room temperature or cryo, revealing the internal structures of the 
sample in a near native state as possible.</t>
  </si>
  <si>
    <t xml:space="preserve">91486</t>
  </si>
  <si>
    <t xml:space="preserve">INS 2000</t>
  </si>
  <si>
    <t xml:space="preserve">REVIEW STATION</t>
  </si>
  <si>
    <t xml:space="preserve">103110</t>
  </si>
  <si>
    <t xml:space="preserve">Leica</t>
  </si>
  <si>
    <t xml:space="preserve">LDS3300C</t>
  </si>
  <si>
    <t xml:space="preserve">Macro-Defect  </t>
  </si>
  <si>
    <t xml:space="preserve">Units are stored in separate location.</t>
  </si>
  <si>
    <t xml:space="preserve">84063</t>
  </si>
  <si>
    <t xml:space="preserve">MZ 12.5</t>
  </si>
  <si>
    <t xml:space="preserve">97106</t>
  </si>
  <si>
    <t xml:space="preserve">Stereomicroscope</t>
  </si>
  <si>
    <t xml:space="preserve">with big working table (anti-vibration), Camera and Monitor Objective: Plan 
1,0x Illumination up to 100 x</t>
  </si>
  <si>
    <t xml:space="preserve">84065</t>
  </si>
  <si>
    <t xml:space="preserve">MZ 6</t>
  </si>
  <si>
    <t xml:space="preserve">84064</t>
  </si>
  <si>
    <t xml:space="preserve">MZ 8</t>
  </si>
  <si>
    <t xml:space="preserve">Magnification 6,3x up to 50x
Stand
Ergo Tubus
X-Y Cross table
Pculars 10X21B
Objectiv: Plan 1.0X
Cold Light Source Schott KL 1500 LCD
single arm swan neck
</t>
  </si>
  <si>
    <t xml:space="preserve">96007</t>
  </si>
  <si>
    <t xml:space="preserve">POLY VAR SC</t>
  </si>
  <si>
    <t xml:space="preserve">MICROSCOPE</t>
  </si>
  <si>
    <t xml:space="preserve">De-installed and warehoused. Can be inspected by appointment. In Asia 
region.
-All-colour corrected optical system
-Plan Fluorite and Plan Apochromatic
-Super Module 
-8"x8" stage
-Integrated control panel
-Independent central power supply unit
-triple camera System</t>
  </si>
  <si>
    <t xml:space="preserve">96008</t>
  </si>
  <si>
    <t xml:space="preserve">Polycon</t>
  </si>
  <si>
    <t xml:space="preserve">99878</t>
  </si>
  <si>
    <t xml:space="preserve">S8APO</t>
  </si>
  <si>
    <t xml:space="preserve">3-D Microscope </t>
  </si>
  <si>
    <t xml:space="preserve">3-D microscope in excellent fully functional condition
Objective: Leica APO 1,6x/WD 37 mm
Oculars: 20x
Illumination up to 256x 
Ring light Schott LED, dimmable and switchable
Warehoused. Please check pictures below for more information.
SOLD VIA PRIVATE TREATY BIDDING</t>
  </si>
  <si>
    <t xml:space="preserve">97866</t>
  </si>
  <si>
    <t xml:space="preserve">WILD M8</t>
  </si>
  <si>
    <t xml:space="preserve">STEREO MICROSCOPE</t>
  </si>
  <si>
    <t xml:space="preserve">69389</t>
  </si>
  <si>
    <t xml:space="preserve">Leica/Wild</t>
  </si>
  <si>
    <t xml:space="preserve">M 8</t>
  </si>
  <si>
    <t xml:space="preserve">6, 9, 12, 18, 25, 40, 50 Ocular 10x with cold light source Flexilux 600 
Longlife, Ringlight, big stand</t>
  </si>
  <si>
    <t xml:space="preserve">102168</t>
  </si>
  <si>
    <t xml:space="preserve">Leo</t>
  </si>
  <si>
    <t xml:space="preserve">1530</t>
  </si>
  <si>
    <t xml:space="preserve">up to 8 inch</t>
  </si>
  <si>
    <t xml:space="preserve">90173</t>
  </si>
  <si>
    <t xml:space="preserve">LEYBOLD</t>
  </si>
  <si>
    <t xml:space="preserve">400003V0002</t>
  </si>
  <si>
    <t xml:space="preserve">TURBO PUMP</t>
  </si>
  <si>
    <t xml:space="preserve">90176</t>
  </si>
  <si>
    <t xml:space="preserve">MAG.DRIVE digital</t>
  </si>
  <si>
    <t xml:space="preserve">turbo frequency convertor</t>
  </si>
  <si>
    <t xml:space="preserve">90174</t>
  </si>
  <si>
    <t xml:space="preserve">NT340M</t>
  </si>
  <si>
    <t xml:space="preserve">90175</t>
  </si>
  <si>
    <t xml:space="preserve">NT341M</t>
  </si>
  <si>
    <t xml:space="preserve">90171</t>
  </si>
  <si>
    <t xml:space="preserve">TURBO VAC 1000C</t>
  </si>
  <si>
    <t xml:space="preserve">90172</t>
  </si>
  <si>
    <t xml:space="preserve">TURBO VAC 340ML</t>
  </si>
  <si>
    <t xml:space="preserve">DEINSTALLED, WAREHOUSED.
SEE ATTACHED PHOTOS FOR DETAILS.
WE HAVE AVAILABLE 2 PUMPS, AS SHOWN IN THE PICTURES, AND, ADDITIONALLY ONE 
CONTROLLER AND ONE MATCHING CONTROL CABLE ( NOT PICTURED.).
THE PRICE SHOWN IS FOR ONE PUMP, SOLD WITH ONE CONTROLLER AND ONE MATCHING 
CABLE.</t>
  </si>
  <si>
    <t xml:space="preserve">93208</t>
  </si>
  <si>
    <t xml:space="preserve">Leybold</t>
  </si>
  <si>
    <t xml:space="preserve">W 1300C</t>
  </si>
  <si>
    <t xml:space="preserve">102884</t>
  </si>
  <si>
    <t xml:space="preserve">Lintec</t>
  </si>
  <si>
    <t xml:space="preserve">RAD2000/F8</t>
  </si>
  <si>
    <t xml:space="preserve">UV Irradiator for Detaping System</t>
  </si>
  <si>
    <t xml:space="preserve">Automatic UV Irradiator for Detaping System</t>
  </si>
  <si>
    <t xml:space="preserve">103167</t>
  </si>
  <si>
    <t xml:space="preserve">Logitech </t>
  </si>
  <si>
    <t xml:space="preserve">1WBT5 r</t>
  </si>
  <si>
    <t xml:space="preserve">Wafer Substrate Bonder</t>
  </si>
  <si>
    <t xml:space="preserve">Logitech 1WBT5 Wafer Substrate Bonder consisting of: - Model 1WBT5 Wafer 
Substrate Bonder - For temporary wax mounting of semiconductor wafers - 
Configured to process up to three (qty) 6"/150mm wafers - 6-inch tooling 
included (optical flat and centering ring) - Vacuum gauges to indicate 
pressure above &amp; below the bladder - Digital temperature display - Small 
footprint, entire unit designed to fit on a bench-top - Manual loading and 
removal of wafers - Fully integrated, digital process controller - Original 
Manuals and Documentation CONDITION: Excellent Condition Guaranteed. Fully 
Reconditioned. 3 Month Warranty. 30 Day Right of Return.</t>
  </si>
  <si>
    <t xml:space="preserve">103168</t>
  </si>
  <si>
    <t xml:space="preserve">Logitech  </t>
  </si>
  <si>
    <t xml:space="preserve">1WBS1</t>
  </si>
  <si>
    <t xml:space="preserve">LOGITECH 1WST1 WAFER SUBSTRATE BONDER consisting of: - Model: 1WBS1 - Wafer 
Substrate Bonder - Single Station Wafer Bonder - Used For temporary Wax 
Mounting of Semiconductor Wafers - Configured for 4"/100mm Wafers - Manual 
Loading and Removal of Wafers - Fully Integrated, Digital Process 
Controller - Original Manuals and Documentation CONDITION: Excellent 
Condition Guaranteed. Fully Reconditioned to Factory Specifications. 6 
Month Warranty and Full Specification Guarantee. 30 Day Right of Return.</t>
  </si>
  <si>
    <t xml:space="preserve">100646</t>
  </si>
  <si>
    <t xml:space="preserve">Longhill</t>
  </si>
  <si>
    <t xml:space="preserve">LH860</t>
  </si>
  <si>
    <t xml:space="preserve">Wafer Mounter</t>
  </si>
  <si>
    <t xml:space="preserve">94476</t>
  </si>
  <si>
    <t xml:space="preserve">LUMONICS</t>
  </si>
  <si>
    <t xml:space="preserve">SUPERCLEAN</t>
  </si>
  <si>
    <t xml:space="preserve">61192</t>
  </si>
  <si>
    <t xml:space="preserve">MACTRONIX</t>
  </si>
  <si>
    <t xml:space="preserve">UKA-650</t>
  </si>
  <si>
    <t xml:space="preserve">Wafer Transfer Tool - Eureka III Sr. for 150mm Wafers</t>
  </si>
  <si>
    <t xml:space="preserve">61193</t>
  </si>
  <si>
    <t xml:space="preserve">UKA-825</t>
  </si>
  <si>
    <t xml:space="preserve">Wafer Transfer Tool for 200mm Wafers</t>
  </si>
  <si>
    <t xml:space="preserve">102502</t>
  </si>
  <si>
    <t xml:space="preserve">Man Roland</t>
  </si>
  <si>
    <t xml:space="preserve">R906-6 + LV</t>
  </si>
  <si>
    <t xml:space="preserve">Printing Press</t>
  </si>
  <si>
    <t xml:space="preserve">Printing Equipment</t>
  </si>
  <si>
    <t xml:space="preserve">Sheet Size:1020 x 1420mm
Impressions:88 million approx.
Under MAN Roland ProServ Service Agreement
Detailed MAN Roland Service History
PPL - Power Plate Loading
Auto Format Setting
RCI - Remote Control Inking
PECOM - Press Management System
CCI-2
Rolandmatic Dampening
Ink Temperature Control
Graphometronic Tempcontrol chiller
Technotrans beta.d recirculation
Auto Ink Roller Wash
Auto Blanket Wash
Auto Impression Cylinder Wash
PIAB Air Supply System
Anilox Coating Unit
2 x Anilox Rollers
Extended Delivery
UV Drying - Interdeck (Eltosch)
UV Drying - 2 Moveable Cassettes
UV Drying - End Of Press (Eltosch)
Grafix Dry Spray
Please check pictures below from more information.
 </t>
  </si>
  <si>
    <t xml:space="preserve">80349</t>
  </si>
  <si>
    <t xml:space="preserve">MARCH</t>
  </si>
  <si>
    <t xml:space="preserve">PX-1000E8</t>
  </si>
  <si>
    <t xml:space="preserve">Plasma Cleaner</t>
  </si>
  <si>
    <t xml:space="preserve">1 available. in working condition. please inquire for more info.</t>
  </si>
  <si>
    <t xml:space="preserve">100647</t>
  </si>
  <si>
    <t xml:space="preserve">March</t>
  </si>
  <si>
    <t xml:space="preserve">Xtrack</t>
  </si>
  <si>
    <t xml:space="preserve">Plasma Treatment System</t>
  </si>
  <si>
    <t xml:space="preserve">103006</t>
  </si>
  <si>
    <t xml:space="preserve">March </t>
  </si>
  <si>
    <t xml:space="preserve">PX-2400</t>
  </si>
  <si>
    <t xml:space="preserve">Box Plasma Etcher</t>
  </si>
  <si>
    <t xml:space="preserve">98406</t>
  </si>
  <si>
    <t xml:space="preserve">Matrix</t>
  </si>
  <si>
    <t xml:space="preserve">105</t>
  </si>
  <si>
    <t xml:space="preserve">Plasma Asher</t>
  </si>
  <si>
    <t xml:space="preserve">Fully operational at deinstallation.
In USA. Can be inspected by appointment.</t>
  </si>
  <si>
    <t xml:space="preserve">83977</t>
  </si>
  <si>
    <t xml:space="preserve">Mattson</t>
  </si>
  <si>
    <t xml:space="preserve">Aspen 3 ICP</t>
  </si>
  <si>
    <t xml:space="preserve">Dual Chamber Asher</t>
  </si>
  <si>
    <t xml:space="preserve">De-installed, Warehoused. Can be inspected by appointment.
See attached photos for details.
5 sets available.
CE Marked
3 X 300 MM SMIF load ports</t>
  </si>
  <si>
    <t xml:space="preserve">102885</t>
  </si>
  <si>
    <t xml:space="preserve">AST2800</t>
  </si>
  <si>
    <t xml:space="preserve">RTP System</t>
  </si>
  <si>
    <t xml:space="preserve">Single Chamber RTP with 2 Load/unloaders</t>
  </si>
  <si>
    <t xml:space="preserve">102886</t>
  </si>
  <si>
    <t xml:space="preserve">AST3000</t>
  </si>
  <si>
    <t xml:space="preserve">Single Chamber RTP with 3 Load/unloaders</t>
  </si>
  <si>
    <t xml:space="preserve">102290</t>
  </si>
  <si>
    <t xml:space="preserve">AWP</t>
  </si>
  <si>
    <t xml:space="preserve">Wet Bench</t>
  </si>
  <si>
    <t xml:space="preserve">98828</t>
  </si>
  <si>
    <t xml:space="preserve">MATTSON</t>
  </si>
  <si>
    <t xml:space="preserve">HELIOS</t>
  </si>
  <si>
    <t xml:space="preserve">Implanter</t>
  </si>
  <si>
    <t xml:space="preserve">102291</t>
  </si>
  <si>
    <t xml:space="preserve">Helios</t>
  </si>
  <si>
    <t xml:space="preserve">91639</t>
  </si>
  <si>
    <t xml:space="preserve">De-installed, warehoused. Can be inspected by appointment. See attached 
photos for details.
-The equipment was professionally de-installed, and all the quartz has been 
removed and packed separately
(See photos.).
Parts included:-
-Rorze Robot with Controller type CURT-4430-0 Date: Jun 2003
-Number of FOUP loaders: Qty 3
-FOUP loader type: Asyst Iso-port Type 9700-9129-01 Rev G
-AC-Rack Voltage: 400V, Frequency: 50/60 Hz, Power: 180 kVA, full load 
current: 250A, wiring configuration: 3 Phase /N/GND</t>
  </si>
  <si>
    <t xml:space="preserve">91640</t>
  </si>
  <si>
    <t xml:space="preserve">-De-installed, warehoused.
-See attached photos for details.
Parts included:-
-Rorze Robot Controller type CURT-4430-1 Date: JUN 2004
-Number of FOUP loaders: Qty 3
-AC-Rack Voltage: 400V, Frequency: 50/60 Hz, Power: 180 kVA, full load 
current: 250A, wiring configuration: 3 Phase /N/GND</t>
  </si>
  <si>
    <t xml:space="preserve">91641</t>
  </si>
  <si>
    <t xml:space="preserve">-De-installed, warehoused.
-The equipment was professionally de-installed, and all the quartz has been 
removed and packed separately
Parts included:-
-Rorze Robot Controller type CURT-4430-1 Date: JUL 2005
-Number of FOUP loaders: Qty 3
-AC-Rack Voltage: 400V, Frequency: 50/60 Hz, Power: 180 kVA, full load 
current: 250A, wiring configuration: 3 Phase /N/GND</t>
  </si>
  <si>
    <t xml:space="preserve">91642</t>
  </si>
  <si>
    <t xml:space="preserve">De-installed, warehoused. Can be inspected by appointment.
SEE ATTACHED PHOTOS FOR DETAILS.
CAN BE INSPECTED BY APPOINTMENT.
HAS CE MARK</t>
  </si>
  <si>
    <t xml:space="preserve">98281</t>
  </si>
  <si>
    <t xml:space="preserve">98282</t>
  </si>
  <si>
    <t xml:space="preserve">102292</t>
  </si>
  <si>
    <t xml:space="preserve">Millios</t>
  </si>
  <si>
    <t xml:space="preserve">Millisecond Anneal System</t>
  </si>
  <si>
    <t xml:space="preserve">93900</t>
  </si>
  <si>
    <t xml:space="preserve">PARADIGM_SI</t>
  </si>
  <si>
    <t xml:space="preserve">Poly-silicon etcher</t>
  </si>
  <si>
    <t xml:space="preserve">98283</t>
  </si>
  <si>
    <t xml:space="preserve">PARADIGME SI</t>
  </si>
  <si>
    <t xml:space="preserve">Dry Strip</t>
  </si>
  <si>
    <t xml:space="preserve">98284</t>
  </si>
  <si>
    <t xml:space="preserve">88049</t>
  </si>
  <si>
    <t xml:space="preserve">RFS3019</t>
  </si>
  <si>
    <t xml:space="preserve">100902</t>
  </si>
  <si>
    <t xml:space="preserve">Suprema</t>
  </si>
  <si>
    <t xml:space="preserve">PR Stripper</t>
  </si>
  <si>
    <t xml:space="preserve">De-installed, Warehoused.
Can be inspected by appointment.
Please check pictures below for more information.</t>
  </si>
  <si>
    <t xml:space="preserve">98285</t>
  </si>
  <si>
    <t xml:space="preserve">SUPREMA IM</t>
  </si>
  <si>
    <t xml:space="preserve">98286</t>
  </si>
  <si>
    <t xml:space="preserve">98287</t>
  </si>
  <si>
    <t xml:space="preserve">98288</t>
  </si>
  <si>
    <t xml:space="preserve">81917</t>
  </si>
  <si>
    <t xml:space="preserve">MDC</t>
  </si>
  <si>
    <t xml:space="preserve">986G</t>
  </si>
  <si>
    <t xml:space="preserve">Automatic CV Plotter </t>
  </si>
  <si>
    <t xml:space="preserve">MDC 986G Autoloading CV Plotter
    * 200mm Nickel Plated Hot Chuck
    * MDC Quiet Chuck 490 Controller
    * Mini -Environment with HEPA Filtration
    * Genmark 3 Axis Robot with Controller
    * Genmark Wafer Pre-Aligner
    * Agilent 4284A Precision LCR Meter
    * Keithley 236 Source Measure Unit
    * MDC Multiplexer
    * System Control PC with Windows 2000 OS
    * 
          o 3.5" FDD, CD-ROM Drive
          o Keyboard with Trackball &amp; Flat Screen Display
    * 3ea Signatone 725 Micropositioners
    * Cohu Color CCD Camera 
    * Sony Color Monitor</t>
  </si>
  <si>
    <t xml:space="preserve">99419</t>
  </si>
  <si>
    <t xml:space="preserve">CSM</t>
  </si>
  <si>
    <t xml:space="preserve">Automatic CV Plotter with RM-1600 Computer</t>
  </si>
  <si>
    <t xml:space="preserve">The configuration is available upon request.</t>
  </si>
  <si>
    <t xml:space="preserve">99420</t>
  </si>
  <si>
    <t xml:space="preserve">CSM/16</t>
  </si>
  <si>
    <t xml:space="preserve">125 MM</t>
  </si>
  <si>
    <t xml:space="preserve">    * MDC RM-1600 16-bit Computer S/N 1414
    * BOONTON Model 72B Capacitance Meter
    * SIGNATONE Model S-1041/5D1-C 5” (dia.) Water Cooled Hot Chuck</t>
  </si>
  <si>
    <t xml:space="preserve">103183</t>
  </si>
  <si>
    <t xml:space="preserve">Meco</t>
  </si>
  <si>
    <t xml:space="preserve">EPL 2400S</t>
  </si>
  <si>
    <t xml:space="preserve">Plating Line</t>
  </si>
  <si>
    <t xml:space="preserve">Conditionally Functioning, require completing some parts (Part list is 
available).1. Power Consumption : 219 KW 2. Temp Range : 10 -170�C 3. 
Dimensions: Width 159.843 inch (406.0 cm) Height 78.740 inch (200.0 cm) 
Weight 13,228 lb (6,000 kg). STRAIGHT PLATING LINE.</t>
  </si>
  <si>
    <t xml:space="preserve">102622</t>
  </si>
  <si>
    <t xml:space="preserve">MECO</t>
  </si>
  <si>
    <t xml:space="preserve">R2R EPF</t>
  </si>
  <si>
    <t xml:space="preserve">Plating Line Essential Spares</t>
  </si>
  <si>
    <t xml:space="preserve">Quant. 	Part No./ Stat.No. 	Description
1 	044.833.990700/85439000 	Heater for hotwind 7391/A383 400V-2ph-3000W
1 	053.395.130112/85439000 	Ass'y thermo switch 80 degC (heater protection 
switch in sump tanks)
1 	053.838.266203/85439000 	Heating element for Cu/Ni sump tanks 4.5kW 
-7.5m 415-3-50/60
1 	053.838.276203/85439000 	Heating element for hot drag out rinse PII 
L=7.5m, 6kW, 415-3-50/60
1 	301.843.997570 	EtherCAT E-bus coupler EK1100
1 	301.843.997580 	EtherCAT Digital in 8x DI 24VDC 3ms filter, EL1008
1 	301.843.997590 	EtherCAT digital out 8x DO 24VDC 0.5A, EL2008
1 	301.843.997600 	EtherCAT Analogue In, 2x Al RTD 0-10VDC, EL3162
1 	301.843.997620/85439090 	EtherCAT Analogue In, 2x AI RTD PT100, EL3202
1 	301.843.997630 	EtherCAt Analogue in, 2xAl thermocouple types J etc, 
EL3312
1 	301.843.997640 	EtherCAT Analogue out, 2x A0 0-10VDC, EL4102
1 	301.843.997650 	EtherCAT incremental encode interface, EL 5151
1 	301.843.997810/85439090 	EtherCAT Power supply Terminal 2A supply, 
EL9400
1 	301.843.997830/85439090 	EtherCAT PWM out, 2x PWM-OUT 24VDC/1A 1-20KHz, 
EL2502
1 	301.843.997840/85439090 	EtherCAT Bus end plate, EL 9011
1 	301.843.997930 	PCI 10/100 Mbit Ethernet ca rd, RTL8139D chipset, 
NIC-RT8139</t>
  </si>
  <si>
    <t xml:space="preserve">98474</t>
  </si>
  <si>
    <t xml:space="preserve">MECS</t>
  </si>
  <si>
    <t xml:space="preserve">OF 250</t>
  </si>
  <si>
    <t xml:space="preserve">wafer pre-aligner(Hitachi CDSEM 8820/8840)</t>
  </si>
  <si>
    <t xml:space="preserve">98475</t>
  </si>
  <si>
    <t xml:space="preserve">UTC 800</t>
  </si>
  <si>
    <t xml:space="preserve">atmospheric wafer handling robot( WJ-999)</t>
  </si>
  <si>
    <t xml:space="preserve">150/200mm</t>
  </si>
  <si>
    <t xml:space="preserve">98476</t>
  </si>
  <si>
    <t xml:space="preserve">UTC 801P</t>
  </si>
  <si>
    <t xml:space="preserve">atmospheric wafer handling robot( WJ-1000</t>
  </si>
  <si>
    <t xml:space="preserve">98477</t>
  </si>
  <si>
    <t xml:space="preserve">UTX 1100</t>
  </si>
  <si>
    <t xml:space="preserve">atmospheric wafer handling robot(ASM eagle-10)</t>
  </si>
  <si>
    <t xml:space="preserve">98478</t>
  </si>
  <si>
    <t xml:space="preserve">UTX 1200</t>
  </si>
  <si>
    <t xml:space="preserve">87574</t>
  </si>
  <si>
    <t xml:space="preserve">MEIVAC</t>
  </si>
  <si>
    <t xml:space="preserve">VQ-20-ASA-H-SM</t>
  </si>
  <si>
    <t xml:space="preserve">Variable Throttle Valve</t>
  </si>
  <si>
    <t xml:space="preserve">102471</t>
  </si>
  <si>
    <t xml:space="preserve">Meyer Burger</t>
  </si>
  <si>
    <t xml:space="preserve">0</t>
  </si>
  <si>
    <t xml:space="preserve">Manufacturer 	Model 	Serialnumber 	Description
Schmaersal 	AZM 160-23 yrpk 	  	Safety Locking Device
Schmaersal 	TZFWN 24 VDC/96 	  	Safety Locking Device
Woehrle 	NGE1 2420 	  	Power Supply
Burkert 	0262 A 	  	Solenoid Valve
Norgren 	SXE9573-Z80-70C 	  	Solenoid Valve</t>
  </si>
  <si>
    <t xml:space="preserve">99421</t>
  </si>
  <si>
    <t xml:space="preserve">Micro Automation</t>
  </si>
  <si>
    <t xml:space="preserve">16744</t>
  </si>
  <si>
    <t xml:space="preserve">Dicing Wheel</t>
  </si>
  <si>
    <t xml:space="preserve">62</t>
  </si>
  <si>
    <t xml:space="preserve">87541</t>
  </si>
  <si>
    <t xml:space="preserve">2066</t>
  </si>
  <si>
    <t xml:space="preserve">Mask and wafer cleaner</t>
  </si>
  <si>
    <t xml:space="preserve">    * CYBERGEN EPS Static Meter Calibrator
    * Mechanical Chuck for Diced Wafer Film Frames
    * Non-Abrasive, High-Pressure Jet for Cleaning
    * Spin Module Contains Spray Head, Chuck, Control Panel and DI Water
      Filter
    * Pump Module Contains the High-Pressure Pump, Prefilter, Pressure
      Regulator, Pressure Gauge and the DI Water Reionizing Unit
    * 0 to 20 PSI N2 Blow Off
    * IR Lamp for Drying
    * Water Pressure Adjustable up to 2,500 psi with High Pressure Pump
    * 3000 RPM Spindle Speed</t>
  </si>
  <si>
    <t xml:space="preserve">101683</t>
  </si>
  <si>
    <t xml:space="preserve">Micromanipulator</t>
  </si>
  <si>
    <t xml:space="preserve">9900</t>
  </si>
  <si>
    <t xml:space="preserve">64264</t>
  </si>
  <si>
    <t xml:space="preserve">Probe Station 1</t>
  </si>
  <si>
    <t xml:space="preserve">Manual Prober with hot and cold chuck</t>
  </si>
  <si>
    <t xml:space="preserve">-Includes hot and cold gold chuck, 8 inch
-With TAS THC 200C temperature controller for the chuck
-See attached photos for details</t>
  </si>
  <si>
    <t xml:space="preserve">99422</t>
  </si>
  <si>
    <t xml:space="preserve">Minato</t>
  </si>
  <si>
    <t xml:space="preserve">MM-6600</t>
  </si>
  <si>
    <t xml:space="preserve">Wafer Mobility Tester</t>
  </si>
  <si>
    <t xml:space="preserve">102972</t>
  </si>
  <si>
    <t xml:space="preserve">Mirae</t>
  </si>
  <si>
    <t xml:space="preserve">MR-840DR</t>
  </si>
  <si>
    <t xml:space="preserve">WAFER SORTER</t>
  </si>
  <si>
    <t xml:space="preserve">102293</t>
  </si>
  <si>
    <t xml:space="preserve">Mirtec</t>
  </si>
  <si>
    <t xml:space="preserve">MV-8VDH</t>
  </si>
  <si>
    <t xml:space="preserve">AOI</t>
  </si>
  <si>
    <t xml:space="preserve">102527</t>
  </si>
  <si>
    <t xml:space="preserve">MIT</t>
  </si>
  <si>
    <t xml:space="preserve">Optimus M2</t>
  </si>
  <si>
    <t xml:space="preserve">Automatic Die Sorting System</t>
  </si>
  <si>
    <t xml:space="preserve">102973</t>
  </si>
  <si>
    <t xml:space="preserve">MITUTOYO</t>
  </si>
  <si>
    <t xml:space="preserve">PJ-H30005F</t>
  </si>
  <si>
    <t xml:space="preserve">PROFILE PROJECTOR</t>
  </si>
  <si>
    <t xml:space="preserve">86466</t>
  </si>
  <si>
    <t xml:space="preserve">Mitutoyo</t>
  </si>
  <si>
    <t xml:space="preserve">PJH3000 F</t>
  </si>
  <si>
    <t xml:space="preserve">profile projector</t>
  </si>
  <si>
    <t xml:space="preserve">DE-INSTALLED WAREHOUSED.
CAN BE INSPECTED BY APPOINTMENT.
ONE SET IS IN GOOD CONDITION.
2ND SET HAS A BROKEN LAMP.
the price shown is for both of the items of equipment</t>
  </si>
  <si>
    <t xml:space="preserve">96009</t>
  </si>
  <si>
    <t xml:space="preserve">PJH30005FT2100</t>
  </si>
  <si>
    <t xml:space="preserve">88050</t>
  </si>
  <si>
    <t xml:space="preserve">MKS</t>
  </si>
  <si>
    <t xml:space="preserve">10513-00</t>
  </si>
  <si>
    <t xml:space="preserve">88051</t>
  </si>
  <si>
    <t xml:space="preserve">11002-00</t>
  </si>
  <si>
    <t xml:space="preserve">88052</t>
  </si>
  <si>
    <t xml:space="preserve">ASTRON2L</t>
  </si>
  <si>
    <t xml:space="preserve">88053</t>
  </si>
  <si>
    <t xml:space="preserve">ASTRONex</t>
  </si>
  <si>
    <t xml:space="preserve">88054</t>
  </si>
  <si>
    <t xml:space="preserve">AX3060-1</t>
  </si>
  <si>
    <t xml:space="preserve">88055</t>
  </si>
  <si>
    <t xml:space="preserve">AX3063</t>
  </si>
  <si>
    <t xml:space="preserve">88056</t>
  </si>
  <si>
    <t xml:space="preserve">AX3063ULVJ</t>
  </si>
  <si>
    <t xml:space="preserve">88057</t>
  </si>
  <si>
    <t xml:space="preserve">AX3151</t>
  </si>
  <si>
    <t xml:space="preserve">88058</t>
  </si>
  <si>
    <t xml:space="preserve">AX7645PS-01</t>
  </si>
  <si>
    <t xml:space="preserve">88059</t>
  </si>
  <si>
    <t xml:space="preserve">AX7645RH-01</t>
  </si>
  <si>
    <t xml:space="preserve">88060</t>
  </si>
  <si>
    <t xml:space="preserve">AX7650</t>
  </si>
  <si>
    <t xml:space="preserve">16</t>
  </si>
  <si>
    <t xml:space="preserve">88061</t>
  </si>
  <si>
    <t xml:space="preserve">AX7651</t>
  </si>
  <si>
    <t xml:space="preserve">88062</t>
  </si>
  <si>
    <t xml:space="preserve">AX7651-2</t>
  </si>
  <si>
    <t xml:space="preserve">88063</t>
  </si>
  <si>
    <t xml:space="preserve">AX7657-2</t>
  </si>
  <si>
    <t xml:space="preserve">88064</t>
  </si>
  <si>
    <t xml:space="preserve">AX7657-5</t>
  </si>
  <si>
    <t xml:space="preserve">88065</t>
  </si>
  <si>
    <t xml:space="preserve">AX7670</t>
  </si>
  <si>
    <t xml:space="preserve">88066</t>
  </si>
  <si>
    <t xml:space="preserve">AX7670-06</t>
  </si>
  <si>
    <t xml:space="preserve">101706</t>
  </si>
  <si>
    <t xml:space="preserve">AX7670-81 REV: A</t>
  </si>
  <si>
    <t xml:space="preserve">Remote Plasma Source</t>
  </si>
  <si>
    <t xml:space="preserve">88068</t>
  </si>
  <si>
    <t xml:space="preserve">AX7690PSK-04</t>
  </si>
  <si>
    <t xml:space="preserve">88069</t>
  </si>
  <si>
    <t xml:space="preserve">AX7695NOV-01</t>
  </si>
  <si>
    <t xml:space="preserve">88070</t>
  </si>
  <si>
    <t xml:space="preserve">AX7695PSK-01</t>
  </si>
  <si>
    <t xml:space="preserve">88071</t>
  </si>
  <si>
    <t xml:space="preserve">AX7700-10</t>
  </si>
  <si>
    <t xml:space="preserve">88073</t>
  </si>
  <si>
    <t xml:space="preserve">AX8407A</t>
  </si>
  <si>
    <t xml:space="preserve">88074</t>
  </si>
  <si>
    <t xml:space="preserve">AX8407HC</t>
  </si>
  <si>
    <t xml:space="preserve">33</t>
  </si>
  <si>
    <t xml:space="preserve">88075</t>
  </si>
  <si>
    <t xml:space="preserve">AX9004</t>
  </si>
  <si>
    <t xml:space="preserve">88077</t>
  </si>
  <si>
    <t xml:space="preserve">B-5002</t>
  </si>
  <si>
    <t xml:space="preserve">88078</t>
  </si>
  <si>
    <t xml:space="preserve">B-5002-12054</t>
  </si>
  <si>
    <t xml:space="preserve">88079</t>
  </si>
  <si>
    <t xml:space="preserve">D10R0G0CB820</t>
  </si>
  <si>
    <t xml:space="preserve">88080</t>
  </si>
  <si>
    <t xml:space="preserve">D13449</t>
  </si>
  <si>
    <t xml:space="preserve">88081</t>
  </si>
  <si>
    <t xml:space="preserve">14</t>
  </si>
  <si>
    <t xml:space="preserve">88082</t>
  </si>
  <si>
    <t xml:space="preserve">DCS80-13E</t>
  </si>
  <si>
    <t xml:space="preserve">88083</t>
  </si>
  <si>
    <t xml:space="preserve">DSS  CW2  V2</t>
  </si>
  <si>
    <t xml:space="preserve">88084</t>
  </si>
  <si>
    <t xml:space="preserve">FGA-30A2</t>
  </si>
  <si>
    <t xml:space="preserve">88085</t>
  </si>
  <si>
    <t xml:space="preserve">FGA-30C</t>
  </si>
  <si>
    <t xml:space="preserve">24</t>
  </si>
  <si>
    <t xml:space="preserve">88086</t>
  </si>
  <si>
    <t xml:space="preserve">FI20160-1</t>
  </si>
  <si>
    <t xml:space="preserve">88087</t>
  </si>
  <si>
    <t xml:space="preserve">FI20162-1</t>
  </si>
  <si>
    <t xml:space="preserve">88088</t>
  </si>
  <si>
    <t xml:space="preserve">FI20608</t>
  </si>
  <si>
    <t xml:space="preserve">88089</t>
  </si>
  <si>
    <t xml:space="preserve">FI20609</t>
  </si>
  <si>
    <t xml:space="preserve">88090</t>
  </si>
  <si>
    <t xml:space="preserve">FI20612</t>
  </si>
  <si>
    <t xml:space="preserve">88091</t>
  </si>
  <si>
    <t xml:space="preserve">FI20620</t>
  </si>
  <si>
    <t xml:space="preserve">88092</t>
  </si>
  <si>
    <t xml:space="preserve">FI20620-1</t>
  </si>
  <si>
    <t xml:space="preserve">88093</t>
  </si>
  <si>
    <t xml:space="preserve">GEW-3540</t>
  </si>
  <si>
    <t xml:space="preserve">88094</t>
  </si>
  <si>
    <t xml:space="preserve">GHW-12Z</t>
  </si>
  <si>
    <t xml:space="preserve">88095</t>
  </si>
  <si>
    <t xml:space="preserve">GHW-50Z</t>
  </si>
  <si>
    <t xml:space="preserve">88096</t>
  </si>
  <si>
    <t xml:space="preserve">GHW-85A</t>
  </si>
  <si>
    <t xml:space="preserve">88097</t>
  </si>
  <si>
    <t xml:space="preserve">GL-139</t>
  </si>
  <si>
    <t xml:space="preserve">88098</t>
  </si>
  <si>
    <t xml:space="preserve">GMW-25Z</t>
  </si>
  <si>
    <t xml:space="preserve">88099</t>
  </si>
  <si>
    <t xml:space="preserve">LMF-5002</t>
  </si>
  <si>
    <t xml:space="preserve">88100</t>
  </si>
  <si>
    <t xml:space="preserve">MWH-100-01M6</t>
  </si>
  <si>
    <t xml:space="preserve">88101</t>
  </si>
  <si>
    <t xml:space="preserve">OB1-R02</t>
  </si>
  <si>
    <t xml:space="preserve">88102</t>
  </si>
  <si>
    <t xml:space="preserve">OEM-12</t>
  </si>
  <si>
    <t xml:space="preserve">88103</t>
  </si>
  <si>
    <t xml:space="preserve">OEM-1250</t>
  </si>
  <si>
    <t xml:space="preserve">88104</t>
  </si>
  <si>
    <t xml:space="preserve">OEM-12B-06</t>
  </si>
  <si>
    <t xml:space="preserve">88105</t>
  </si>
  <si>
    <t xml:space="preserve">OEM-25</t>
  </si>
  <si>
    <t xml:space="preserve">88106</t>
  </si>
  <si>
    <t xml:space="preserve">OEM-25A</t>
  </si>
  <si>
    <t xml:space="preserve">88107</t>
  </si>
  <si>
    <t xml:space="preserve">OEM-25G</t>
  </si>
  <si>
    <t xml:space="preserve">88108</t>
  </si>
  <si>
    <t xml:space="preserve">OEM-25XL</t>
  </si>
  <si>
    <t xml:space="preserve">88109</t>
  </si>
  <si>
    <t xml:space="preserve">88110</t>
  </si>
  <si>
    <t xml:space="preserve">88111</t>
  </si>
  <si>
    <t xml:space="preserve">OEM-650A</t>
  </si>
  <si>
    <t xml:space="preserve">88112</t>
  </si>
  <si>
    <t xml:space="preserve">OEM-6A-01</t>
  </si>
  <si>
    <t xml:space="preserve">88113</t>
  </si>
  <si>
    <t xml:space="preserve">OEM-6AM-1B</t>
  </si>
  <si>
    <t xml:space="preserve">35585</t>
  </si>
  <si>
    <t xml:space="preserve">PAS-4U1HG</t>
  </si>
  <si>
    <t xml:space="preserve">Residual Gas Analyzer</t>
  </si>
  <si>
    <t xml:space="preserve">    * Residual Gas Analysis &amp; He Leak Detection
    * Maximum Mass 100 amu
    * Sem Supply 1.5KV
    * MKS/Spectravac Vac\Check Residual Gas Analyzer
    * Control Unit Serial Number LM78 00801010
          o Analyzer Serial Number LM50501602-1D2
          o RF Board ID LM78-100 RGA1
          o Analog ID LM78-105 RGA1
          o Blanket Heater with Omega CN350 Temperature Controller
    * Laptop Computer with Windows OS; System Software Revisions:
    * RGA for Windows Software V2.45-0-0-100D
          o Satellite Download Software Version DL-V2.45
          o Instrument Software ST V1.22-0-0
          o Spectra VBX Software VX V2.32
          o Com Library Software Version M1-V1.02
          o CRC.CALC.DLL Version L1-V1.00
    * Varian TurboV 70LP MacroTorr Turbmolecular Vacuum Pump
    * Varian TV70 Turbo Pump Controller; Model # 9699507
    * Vacuubrand MZ 2I/211 Diaphragm Vacuum Pump
    * VAT Series 20 “Vatterfly” Valve; Part #20036-UE04-1001/0008
    * NorCal 940413-1 Manual Right Angle Poppet Valve
    * Nupro 6LV-DAVR4-P-GP ¼ Turn Diaphragm Valve
    * Nupro SS-4BMG-VCR Manual Metering Valve
    * Variac Used as AC Line Filter
    * Facilities: 120 VAC, 50/60Hz; 20A</t>
  </si>
  <si>
    <t xml:space="preserve">88114</t>
  </si>
  <si>
    <t xml:space="preserve">PC-3G</t>
  </si>
  <si>
    <t xml:space="preserve">88115</t>
  </si>
  <si>
    <t xml:space="preserve">PL-2HF</t>
  </si>
  <si>
    <t xml:space="preserve">103169</t>
  </si>
  <si>
    <t xml:space="preserve">Molecular Imprints </t>
  </si>
  <si>
    <t xml:space="preserve">Imprio 55 </t>
  </si>
  <si>
    <t xml:space="preserve">Nano Imprint Lithography System</t>
  </si>
  <si>
    <t xml:space="preserve">Configuration: Nano-imprint lithography tool, proven resolution down to 30 
nm, Fragile substrates like GaAs, InP, or glass can also be imprinted. 
Molecular Imprints Imprio 55 Nano Imprint Lithography System consisting of: 
- Model: Imprio 55 - Nano-imprint lithography tool - Proven resolution down 
to 30 nm. - The Imprio 55 utilizes S-FIL, a bi-layer lithography technique 
in which a low viscosity, UV-curable liquid is dispensed in droplets onto 
an underlying standard organic planarization layer, enabling imprinting on 
a wide range of semiconductor device layers. - The Imprio 55 utilizes a 
step-and-repeat process has the flexibility to support up to 8 inch wafers 
with a low-cost single-size template. - Fragile substrates like GaAs, InP, 
or glass can also be imprinted. - The Imprio 55 can imprint up to a 10 mm 
square field or a 14 mm diameter round field. - Available for full 
inspection.</t>
  </si>
  <si>
    <t xml:space="preserve">97867</t>
  </si>
  <si>
    <t xml:space="preserve">MORY</t>
  </si>
  <si>
    <t xml:space="preserve">DSV-3000</t>
  </si>
  <si>
    <t xml:space="preserve">100039</t>
  </si>
  <si>
    <t xml:space="preserve">MOSAID</t>
  </si>
  <si>
    <t xml:space="preserve">4205</t>
  </si>
  <si>
    <t xml:space="preserve">BIT MAP TESTER</t>
  </si>
  <si>
    <t xml:space="preserve">55860</t>
  </si>
  <si>
    <t xml:space="preserve">MS4155</t>
  </si>
  <si>
    <t xml:space="preserve">Memory Test System</t>
  </si>
  <si>
    <t xml:space="preserve">102294</t>
  </si>
  <si>
    <t xml:space="preserve">Mosaid</t>
  </si>
  <si>
    <t xml:space="preserve">MS4205</t>
  </si>
  <si>
    <t xml:space="preserve">Manual Memory Tester</t>
  </si>
  <si>
    <t xml:space="preserve">102296</t>
  </si>
  <si>
    <t xml:space="preserve">102297</t>
  </si>
  <si>
    <t xml:space="preserve">102298</t>
  </si>
  <si>
    <t xml:space="preserve">Memory Test Systems</t>
  </si>
  <si>
    <t xml:space="preserve">102295</t>
  </si>
  <si>
    <t xml:space="preserve">93307</t>
  </si>
  <si>
    <t xml:space="preserve">MOTECH</t>
  </si>
  <si>
    <t xml:space="preserve">MP80/B</t>
  </si>
  <si>
    <t xml:space="preserve">102644</t>
  </si>
  <si>
    <t xml:space="preserve">MPI</t>
  </si>
  <si>
    <t xml:space="preserve">TS3000-SE</t>
  </si>
  <si>
    <t xml:space="preserve">Probe Station</t>
  </si>
  <si>
    <t xml:space="preserve">300 mm Automated Probe System with ShielDEnvironment™
The Dedicated Solution for ultra-low noise IV, CV, pulsed-IV, 1/f and RF 
Measurements.
Chuck XY Stage (Programmable)
Travel range 310 mm x 310 mm (12.2 x 12.2 in)
Resolution 0.5 µm
Accuracy ± 2.0 µm (0.08 mils)
Repeatability ± 1.0 µm
XY stage drive Closed-loop high precision stepper motors
Speed* Slowest: 10 μm / sec | Fastest: 50 mm / sec
Chuck Z Stage (Programmable)
Travel range 30 mm (1.18 in)
Resolution 0.2 µm
Accuracy ± 2.0 µm
Repeatability ± 1.0 µm
Z stage drive Closed-loop high precision stepper motor
Speed* Slowest: 10 μm / sec | Fastest: 50 mm / sec
Guider Precision ball bearings
Chuck Theta Stage (Programmable)
Travel range ± 5.0°
Resolution 0.0001° (0.24 μm @ 300mm edge)
Accuracy &lt; 2.0 µm (measured at the edge of the 300 mm chuck)
Repeatabilty &lt; 1.0 µm
Theta stage drive High resolution stepper motor with linear encoder 
feedback system
XYZ Stage (Programmable)
Travel range (X x Y x Z)* 50 mm x 50 mm x 140 mm
(2.0 in. x 2.0 in. x 5.5 in.)
Resolution, X-Y axis 1 µm (0.04 mils)
Repeatability, X-Y axis ≤ 2 µm (0.08mils)
Accuracy, X-Y axis ≤ 5 µm (0.2 mils)
Resolution, Z axis 0.05 µm (0.002 mils)
Repeatability, Z axis ≤ 2 µm (0.08mils)
Accuracy, Z axis ≤ 4 µm (0.016 mils)
PROBE PLATEN Specifications
Material Nickel plated steel
Chuck to platen height 50 ± 0.5 mm
Platen cooling Fully integrated CDA cooling, by using the chiller CDA
Configuration Probe card holder 4.5 x 7” and/or MicroPositioners
Max. No. of MicroPositioners 8x DC MicroPositioners or 4x DC + 4x RF 
MicroPositioner Setup
RF MicroPositioner mounting Magnetic with guided rail
DC MicroPositioner mounting Magnetic
 </t>
  </si>
  <si>
    <t xml:space="preserve">33829</t>
  </si>
  <si>
    <t xml:space="preserve">MPM</t>
  </si>
  <si>
    <t xml:space="preserve">SP200</t>
  </si>
  <si>
    <t xml:space="preserve">Screen Printer</t>
  </si>
  <si>
    <t xml:space="preserve">smt</t>
  </si>
  <si>
    <t xml:space="preserve">Screen Printer
    * 20” X 20” Maximum Frame Size
    * 16” X 18” Maximum Print Area
    * 16.5” X 18.5” Vacuum Workholder
    * ± 0.500” X-Y Adjustment Range
    * ± 5 Degree Rotary Adjustment Range
    * 1” to 16” Print Stroke Adjustment
    * 0 to 12” per second Squeegee Speed
    * 5 to 60 lbs Squeegee Pressure
    * 115VAC; 60 Hz; 15A</t>
  </si>
  <si>
    <t xml:space="preserve">103005</t>
  </si>
  <si>
    <t xml:space="preserve">MRC</t>
  </si>
  <si>
    <t xml:space="preserve">643P</t>
  </si>
  <si>
    <t xml:space="preserve">In-Line Sputtering System</t>
  </si>
  <si>
    <t xml:space="preserve">Refurbished. Vacuum System: CTI Onboard 8F Loadlock Pump -- P/N: 
8116015G001 CTI Onboard 8 High Vacuum Pump -- P/N: 81160114G001 CTI 9600 
Compressor -- P/N: 8135900G00-1 Alcatel 2033 Mechanical Pump</t>
  </si>
  <si>
    <t xml:space="preserve">101838</t>
  </si>
  <si>
    <t xml:space="preserve">MRL</t>
  </si>
  <si>
    <t xml:space="preserve">diffusion furnace</t>
  </si>
  <si>
    <t xml:space="preserve">2-Stack Diffusion Furnace</t>
  </si>
  <si>
    <t xml:space="preserve">It has about a 20" flatzone and includes a load station, cantilever 
loaders, SiC paddles, gas cabinet with mass flow controlled gas systems 
(the top tube is configured for wet/dry oxidation and the lower tube for 
anneal) and an ARGUS control tower.
Please check pictures below for more information.</t>
  </si>
  <si>
    <t xml:space="preserve">10019</t>
  </si>
  <si>
    <t xml:space="preserve">MRL INDUSTRIES</t>
  </si>
  <si>
    <t xml:space="preserve">1024</t>
  </si>
  <si>
    <t xml:space="preserve">3-Tube Horizontal Diffusion Furnace</t>
  </si>
  <si>
    <t xml:space="preserve">Process  	Configured for 6" Wafers
Gas System  	 
  Gas Input Control  	Mass Flow Controllers
  Process Gases  	TCA, N2 &amp; O2
Cantilever Loader  	YES
Furnace Tube #2:
Process  	Configured for 6" Wafers
Gas System  	
  Gas Input Control  	Mass Flow Controllers
  Process Gases  	N2 &amp; O2
Cantilever Loader  	YES
Furnace Tube #3:
Process  	Configured for 6" Wafers
Gas System  	
  Gas Input Control  	Mass Flow Controllers
  Process Gases  	N2
Cantilever Loader  	YES
Furnace Tube #4:
Cantilever Loader  	YES
Gas Cabinet  	YES
Maximum Temperature  	1,200  ºC  (2,192 ºF, 1,473 ºK)
Number of Control Zones  	3
Other Information  	
          o  
          o Max Temperature 1200ºC
          o 3ea MRL “Black Max” #400-95705 Heating Elements with Spike
            Thermocouples
          o Furnace Tube 11.0” (i.d.) X 15.5” (o.d.) X 54” (l); 240V, 3 Ph,
            22.1 KW
    * Load Zone – 16.0” (l); 10.5 KW
    * Center Zone – 20.0” (l); 6.3 KW
    * Source Zone – 8.0” (l); 5.3 KW
          o 3ea EUROTHERM Model FICS-11 Temperature Controllers
          o 3ea BURLING INSTRUMENTS Platinel II OTP Controllers
          o Miscellaneous Profile Thermocouples Available
          o MRL Automatic Loading Station with 3ea DIRECTION, INC.
            Cantilever Wafer Loaders
          o MRL GPM Gas Control Cabinet
          o Furnace Tube 1 – 3ea UNIT Model UFC-1100A MFCs
    * Gas #1: N2 – 10 SLM
    * Gas #2: O2 – 10 SLM
    * Gas #3: N2 – 1 SLM
    * Furnace Tube 2 – 2ea UNIT Model UFC-1100A MFCs
    * Gas #1: N2 – 10 SLM
    * Gas #2: O2 – 10 SLM
    * Furnace Tube 3 – 1ea UNIT Model UFC-1100A MFC
    * Gas #1: N2 – 10 SLM
    * 3ea ARGUS Gas Control Modules
    * 2ea J.C. SCHUMACHER Model 100 Source Temperature Control Systems
    * Upgraded with a PLC Controller
 </t>
  </si>
  <si>
    <t xml:space="preserve">102299</t>
  </si>
  <si>
    <t xml:space="preserve">Multiprobe</t>
  </si>
  <si>
    <t xml:space="preserve">MP1</t>
  </si>
  <si>
    <t xml:space="preserve">Atomic Force Prober (AFP)</t>
  </si>
  <si>
    <t xml:space="preserve">101753</t>
  </si>
  <si>
    <t xml:space="preserve">Multitest</t>
  </si>
  <si>
    <t xml:space="preserve">MT-2168</t>
  </si>
  <si>
    <t xml:space="preserve">Automatic pick and place Handler</t>
  </si>
  <si>
    <t xml:space="preserve">101754</t>
  </si>
  <si>
    <t xml:space="preserve">101755</t>
  </si>
  <si>
    <t xml:space="preserve">102300</t>
  </si>
  <si>
    <t xml:space="preserve">MT9308</t>
  </si>
  <si>
    <t xml:space="preserve">Handler</t>
  </si>
  <si>
    <t xml:space="preserve">102301</t>
  </si>
  <si>
    <t xml:space="preserve">59152</t>
  </si>
  <si>
    <t xml:space="preserve">MT 8501 Kit for DIL400</t>
  </si>
  <si>
    <t xml:space="preserve">Condition: Good</t>
  </si>
  <si>
    <t xml:space="preserve">59154</t>
  </si>
  <si>
    <t xml:space="preserve">MT 8501 Kit for DIL600</t>
  </si>
  <si>
    <t xml:space="preserve">59153</t>
  </si>
  <si>
    <t xml:space="preserve">MT8501 Kit for DIL400</t>
  </si>
  <si>
    <t xml:space="preserve">103111</t>
  </si>
  <si>
    <t xml:space="preserve">Murata</t>
  </si>
  <si>
    <t xml:space="preserve">SRC330</t>
  </si>
  <si>
    <t xml:space="preserve">Wafer Stocker - Wafer Automation / Wafer Environment</t>
  </si>
  <si>
    <t xml:space="preserve"> QUANTITY 10, SRC330 VEHICLES. - Tool Status: 4 Powered up on the 
production floor. 6 fully crated, operational when crated. - -</t>
  </si>
  <si>
    <t xml:space="preserve">96010</t>
  </si>
  <si>
    <t xml:space="preserve">N&amp;K</t>
  </si>
  <si>
    <t xml:space="preserve">1700RT</t>
  </si>
  <si>
    <t xml:space="preserve">Wafer Analyzer</t>
  </si>
  <si>
    <t xml:space="preserve">101628</t>
  </si>
  <si>
    <t xml:space="preserve">GEMINI</t>
  </si>
  <si>
    <t xml:space="preserve">SCATTEROMETER/REFLECTANCE-TRANSMISSION</t>
  </si>
  <si>
    <t xml:space="preserve">98480</t>
  </si>
  <si>
    <t xml:space="preserve">Nanometrics</t>
  </si>
  <si>
    <t xml:space="preserve">8000X</t>
  </si>
  <si>
    <t xml:space="preserve">film thickness measurement</t>
  </si>
  <si>
    <t xml:space="preserve">98481</t>
  </si>
  <si>
    <t xml:space="preserve">8000Xse</t>
  </si>
  <si>
    <t xml:space="preserve">102840</t>
  </si>
  <si>
    <t xml:space="preserve">NANOMETRICS</t>
  </si>
  <si>
    <t xml:space="preserve">9010</t>
  </si>
  <si>
    <t xml:space="preserve">Integrated Metrology System</t>
  </si>
  <si>
    <t xml:space="preserve">Multiple units and volume discount available.
Please check the attachments below for more information.</t>
  </si>
  <si>
    <t xml:space="preserve">100923</t>
  </si>
  <si>
    <t xml:space="preserve">ATLAS</t>
  </si>
  <si>
    <t xml:space="preserve">Critical Dimension (CD) Measurement</t>
  </si>
  <si>
    <t xml:space="preserve">102302</t>
  </si>
  <si>
    <t xml:space="preserve">Atlas</t>
  </si>
  <si>
    <t xml:space="preserve">Film Thickness measurement</t>
  </si>
  <si>
    <t xml:space="preserve">102304</t>
  </si>
  <si>
    <t xml:space="preserve">Caliper Elan</t>
  </si>
  <si>
    <t xml:space="preserve">Overlay Measurement</t>
  </si>
  <si>
    <t xml:space="preserve">102305</t>
  </si>
  <si>
    <t xml:space="preserve">102306</t>
  </si>
  <si>
    <t xml:space="preserve">102307</t>
  </si>
  <si>
    <t xml:space="preserve">102308</t>
  </si>
  <si>
    <t xml:space="preserve">102303</t>
  </si>
  <si>
    <t xml:space="preserve">91526</t>
  </si>
  <si>
    <t xml:space="preserve">Caliper Mosaic</t>
  </si>
  <si>
    <t xml:space="preserve">De-installed, warehoused. Can be inspected by appointment.
Composition : 2 cartoons / Main body &amp; EFEM
See attached pictures
 </t>
  </si>
  <si>
    <t xml:space="preserve">91527</t>
  </si>
  <si>
    <t xml:space="preserve">De-installed, warehoused. Can be inspected by appointment.
Composition : 2 cartoons / Main body &amp; EFEM
See attached pictures</t>
  </si>
  <si>
    <t xml:space="preserve">91528</t>
  </si>
  <si>
    <t xml:space="preserve">91529</t>
  </si>
  <si>
    <t xml:space="preserve">98482</t>
  </si>
  <si>
    <t xml:space="preserve">Caliper Mosaic EFEM module</t>
  </si>
  <si>
    <t xml:space="preserve">Brooks Razor robot </t>
  </si>
  <si>
    <t xml:space="preserve">102311</t>
  </si>
  <si>
    <t xml:space="preserve">Caliper Q300</t>
  </si>
  <si>
    <t xml:space="preserve">Overlay Inspection</t>
  </si>
  <si>
    <t xml:space="preserve">102310</t>
  </si>
  <si>
    <t xml:space="preserve">102312</t>
  </si>
  <si>
    <t xml:space="preserve">102313</t>
  </si>
  <si>
    <t xml:space="preserve">102309</t>
  </si>
  <si>
    <t xml:space="preserve">98289</t>
  </si>
  <si>
    <t xml:space="preserve">CALIPER ULTRA</t>
  </si>
  <si>
    <t xml:space="preserve">Mask &amp; Wafer Inspection</t>
  </si>
  <si>
    <t xml:space="preserve">98290</t>
  </si>
  <si>
    <t xml:space="preserve">98291</t>
  </si>
  <si>
    <t xml:space="preserve">Inspection available upon request.
Please check the pictures below for more information.</t>
  </si>
  <si>
    <t xml:space="preserve">101585</t>
  </si>
  <si>
    <t xml:space="preserve">CALIPER-ULTRA</t>
  </si>
  <si>
    <t xml:space="preserve">98483</t>
  </si>
  <si>
    <t xml:space="preserve">Lynx EFEM</t>
  </si>
  <si>
    <t xml:space="preserve">Kawasaki robot </t>
  </si>
  <si>
    <t xml:space="preserve">Deinstalled, warehoused. Can be inspected by appointment
Item
KHI Parts No.
Qty.
Robot Arm
NT Robot Arm
3NT420B-B007
1
Cap
60418-1037
4
Separate Harness
Motor Harness
50979-2997L01
1
Signal Harness
50979-2998L01
1
Controller
Controller D60
30D60F-A006
1
Accessory
Fuse Set
49094-1409
1
PANEL Connector
50978-3323
1
Item
KHI Parts No.
Qty.
EFEM
EFEM for 2W
-
1
Anchoring Bracket
Bracket, Anchor
60352-2279
4
Socket Head Screw
PSBM1030U
8
Spring Washer
PSWM10U
8
Plain Washer
60303-1346
8
Plate Set
Bulkhead plate Assy (60339-2784)
-
1
EMO Hole Cover
60387-3105
1
Harness
LP1_AD1-CN6(OMRON V700)
50973-2951
1
LP2_AD1-CN6(OMRON V700)
50973-2954
1
EMO Jumper
50973-3136
1
Light Curtain Jumper
50973-3139
1
Accessory
Accessories for operation
-
1
Name Plate, Lift Point
60819-3478
2</t>
  </si>
  <si>
    <t xml:space="preserve">91530</t>
  </si>
  <si>
    <t xml:space="preserve">NANOMETRICS 9-7200-0195E</t>
  </si>
  <si>
    <t xml:space="preserve">91531</t>
  </si>
  <si>
    <t xml:space="preserve">NANOSPEC ATF210</t>
  </si>
  <si>
    <t xml:space="preserve">102315</t>
  </si>
  <si>
    <t xml:space="preserve">Q200I</t>
  </si>
  <si>
    <t xml:space="preserve">102314</t>
  </si>
  <si>
    <t xml:space="preserve">91532</t>
  </si>
  <si>
    <t xml:space="preserve">Q230</t>
  </si>
  <si>
    <t xml:space="preserve">OVERLAY MEASUREMENT</t>
  </si>
  <si>
    <t xml:space="preserve">Currently De-installed, warehoused. Can be inspected by appointment.
See attached photos for the condition of this equipment.
    Part missing : 3 pieces missing of main controller board
     Non-working : PC2000 board and Z-axis stage</t>
  </si>
  <si>
    <t xml:space="preserve">103037</t>
  </si>
  <si>
    <t xml:space="preserve">Neslab</t>
  </si>
  <si>
    <t xml:space="preserve">HX 750</t>
  </si>
  <si>
    <t xml:space="preserve">Air Cooled Refrigerated Recirculating Chiller</t>
  </si>
  <si>
    <t xml:space="preserve">Digital setpoint readout.�Temp. Range: +5�C to +35�C.Cooling Capacity: 
81840 btu/hr at 20�C (24000 watts).�CP-55 Pump: 10 gpm at 40 psi.�Air 
cooled compressor.�208-230V, 3 Ph, 60 Hz, 42A.� � FULLY TESTED AND READY TO 
USE.</t>
  </si>
  <si>
    <t xml:space="preserve">33654</t>
  </si>
  <si>
    <t xml:space="preserve">NESLAB</t>
  </si>
  <si>
    <t xml:space="preserve">HX-75</t>
  </si>
  <si>
    <t xml:space="preserve">Recirculating Water Chiller w/Digital Temp Ctlr, Water Cooled</t>
  </si>
  <si>
    <t xml:space="preserve">64780</t>
  </si>
  <si>
    <t xml:space="preserve">Recirculating Water Chiller, Air Cooled</t>
  </si>
  <si>
    <t xml:space="preserve">87600</t>
  </si>
  <si>
    <t xml:space="preserve">HX-750</t>
  </si>
  <si>
    <t xml:space="preserve">Air Cooled Recirculating Water Chiller, Damaged Compressor</t>
  </si>
  <si>
    <t xml:space="preserve">101346</t>
  </si>
  <si>
    <t xml:space="preserve">HX75</t>
  </si>
  <si>
    <t xml:space="preserve">Chiller</t>
  </si>
  <si>
    <t xml:space="preserve">97868</t>
  </si>
  <si>
    <t xml:space="preserve">Newport</t>
  </si>
  <si>
    <t xml:space="preserve">1830-C</t>
  </si>
  <si>
    <t xml:space="preserve">Optical Power Meter</t>
  </si>
  <si>
    <t xml:space="preserve">101002</t>
  </si>
  <si>
    <t xml:space="preserve">NexTest</t>
  </si>
  <si>
    <t xml:space="preserve">Maverick 2 GT, base</t>
  </si>
  <si>
    <t xml:space="preserve">More information available upon request.</t>
  </si>
  <si>
    <t xml:space="preserve">84205</t>
  </si>
  <si>
    <t xml:space="preserve">Nextest</t>
  </si>
  <si>
    <t xml:space="preserve">Maverick 2 PT</t>
  </si>
  <si>
    <t xml:space="preserve">Bitmap tester</t>
  </si>
  <si>
    <t xml:space="preserve">-installed
-warehoused
-can be inspected by appointment
</t>
  </si>
  <si>
    <t xml:space="preserve">88397</t>
  </si>
  <si>
    <t xml:space="preserve">Maverick II PT</t>
  </si>
  <si>
    <t xml:space="preserve">92459</t>
  </si>
  <si>
    <t xml:space="preserve">99386</t>
  </si>
  <si>
    <t xml:space="preserve">NEXTEST</t>
  </si>
  <si>
    <t xml:space="preserve">MAVERICK PT I</t>
  </si>
  <si>
    <t xml:space="preserve">-in working condition
-see attached photos for details
-Diagnostic report:-
The test program is loaded
TestStarted(1)...
Started: 04/29/20 07:49:26
                                       Site 1
  Board      Serial    PWB    PWB   PWA    PWA   LVM    DBM    Scan   ECR   
 X     Y     D
  Name       Number   Number  Rev  Number  Rev  Kbits  Mbits  Mbits  Mbits  
bits  bits  bits
---------------------------------------------------------------------------------------------
   PTI       x   500000    3  500001    7                                   
   PE1       x   500744    8  501200   14   1024                            
   PE2       x   500744    8  501200   14   1024                            
   PE3       x   500744    6  501200   14   1024                            
   APG       x   500415    3  500414   17      0     72      0              
   ECR       x   500732    9  501255   17                        144    11  
  11    36  
Nextest software release:  C:\nextest\v2.13.16-LITE\Bin\Ui.exe
Testing APG read,write registers via cpu [apg_rw_regs_tb]
       Address registers and LBDATA
       MAR and INTA
       JAM, DATA, INDEX, VAR and SCAN PTR
       Unique values
Testing APG counter RAM - short march [apg_counter_ram_short_march_tb]
Testing APG reload RAM - short march [apg_reload_ram_short_march_tb]
Testing APG DTOPO RAM - short march [apg_dtopo_ram_short_march_tb]
Testing APG uRAM - short march [apg_uram_ram_short_march_tb]
Testing APG Cycle Length RAM - short march [apg_cycle_ram_short_march_tb]
Testing APG DAC RAM - short march [apg_dac_ram_short_march_tb]
Testing APG ATOPO RAM - short march [apg_atopo_ram_short_march_tb]
Testing APG SCAN RAM - short march [apg_scan_ram_short_march_tb]
    No SCAN RAM present - skipping test.  cccccccc, cccccccc
Testing APG Buffer Memory - short march [apg_buf_ram_short_march_tb]
    Buffer Memory depth is 0x200000 - 0x800 X, 0x400 Y
Testing APG vRAM - short march [apg_vram_ram_short_march_tb]
    No LVM Memory present - skipping test.  0x0
Testing APG counter functions [apg_counter_tests_tb]
    Pattern start is at ac
    Counter loading
    Counter address
    Reload loading
    Reload address
    Reload counters from reload registers
    Counter DECR
    Counter INCR
    Counter DECR2
Testing APG MAR increments, stack nesting [apg_mar_and_stack_tests_tb]
   MAR increments
   Stack nesting, 1st pass
   Stack nesting, 2nd pass
   Stack nesting, 50nS
   Stack nesting, 30nS
Testing APG counter branching [apg_counter_branching_tb]
    Pattern start is at 1e5
Testing APG timer branching and accuracy [apg_timer_branching_tb]
    Pattern start is at 32e
Testing APG interrupt branch logic and addressing 
[apg_interrupt_branching_tb]
    Pattern start is at 2db
Testing APG address generators [apg_address_generators_tb]
    Pattern start is at 1f1
    Checking uDATA loads
    Checking COMP function
    Checking logic functions
    Checking add
    Checking subtract
    Checking decrement and increment
    Checking Y to X carries and borrows
    Checking X to Y carries and borrows
Testing APG data generator [apg_data_generator_tb]
    Pattern start is at 308
    Checking uDATA loads
    Count up and down with shift left, 18 bit register
    Shift right, 18 bit register
    Rotate left, 18 bit register
    Rotate right, 18 bit register
    Rotate left, 36 bit register
    Rotate right, 36 bit register
    Shift left, 36 bit register
    Shift right, 36 bit register
Testing APG error pipelines [apg_error_pipe_tb]
Testing APG data paths [apg_data_paths_tb]
    Buffer Memory depth is 0x200000 - 0x800 X, 0x400 Y
    Pattern start is at 47f
    Checking JAM and Data Register Paths
    Checking Buffer Memory Path
    Checking Buffer Memory Writes
    Checking Buffer Memory x18 Path
    Checking Buffer Memory x18 Writes
       30nS writes
Testing APG data inversions [apg_data_inversions_tb]
    Pattern start is at 354
    Checking bit2 functions
    Checking bit1 functions
    Check bit1, bit2 logical combinations
        AND
        OR
        XOR
    Check X and Y parity
        xyodd
        xyeven
        xeven_yodd
        xodd_yeven
        xodd
        xeven
        yodd
        yeven
    Check DTOPO inversions
        X or Y
        X and Y
        X xor Y
    Check Yindex counter
    Check Yindex inversions
          Yindex masks
          yindex plus Y, yindex = 0xffff
          yindex plus Y bar, yindex = 0xffff
          yindex plus Y, Y = 0xffff
          yindex plus Y bar, Y = 0x0000
    Pattern start is at 3d5
          xmain equal to xbase (XEQB)
          xmain less than xbase (XLTB)
          xmain less than or equal to xbase (XLEB)
          xmain equal to xfield or xbase (XEQBORF)
          ymain equal to ybase (YEQB)
          ymain less than ybase (YLTB)
          ymain less than or equal to ybase (YLEB)
          ymain equal to yfield or ybase (YEQBORF)
          xymain equal to xybase (XYEQB)
          xymain less than xybase (XYLTBXF)
          xymain less than xybase (XYLTBYF)
          xymain less than or equal to xybase (XYLEBXF)
          xymain less than or equal to xybase (XYLEBYF)
          inversion from uRAM (INVSNS)
          inversion from uDATA (XORINV)
Testing APG scan pointer [apg_scan_address_tb]
    Pattern start is at 46f
Testing APG vector address (VAR) [apg_vector_address_tb]
    Pattern start is at 474
Testing APG VAR counter functions [apg_var_counter_tests_tb]
    No LVM Memory present
Testing APG VAR increments, stack nesting [apg_var_and_stack_tests_tb]
    No LVM Memory present
Testing APG VAR counter branching [apg_var_counter_branching_tb]
    No LVM Memory present
Testing APG RAM read only paths [apg_ram_current_outputs_tb]
Testing PE TG count RAM [pe_tg_count_march_tb]
 Testing PE1
 Testing PE2
 Testing PE3
Testing PE TG format RAM [pe_tg_format_march_tb]
 Testing PE1
 Testing PE2
 Testing PE3
Testing PE VIHH RAM [pe_vihh_march_tb]
 Testing PE1
 Testing PE2
 Testing PE3
Testing PE Pin Scramble RAM [pe_psram_march_tb]
 Testing PE1
 Testing PE2
 Testing PE3
Testing PE LVM RAM [pe_lvm_march_tb]
 Testing PE1
 Testing PE2
 Testing PE3
Testing PE Broadcast mode [pe_broadcast_tb]
 Testing PE1
 Testing PE2
 Testing PE3
 Testing PE1
 Testing PE2
 Testing PE3
Testing PE16 ADC [adc_tb]
Testing PE16 PMU current force [pmu_if_tb]
 Testing PE16 1 PMU current force DACs
 Testing PE16 1 PMU current force level accuracy
 Testing PE16 1 PMU current force apg level DAC select path
 Testing PE16 2 PMU current force DACs
 Testing PE16 2 PMU current force level accuracy
 Testing PE16 3 PMU current force DACs
 Testing PE16 3 PMU current force level accuracy
Testing PE16 PMU voltage force [pmu_vf_tb]
 Testing PE16 1 PMU voltage force DACs
 Testing PE16 1 PMU voltage force level accuracy
 Testing PE16 1 PMU voltage force apg level DAC select path
 Testing PE16 2 PMU voltage force DACs
 Testing PE16 2 PMU voltage force level accuracy
 Testing PE16 3 PMU voltage force DACs
 Testing PE16 3 PMU voltage force level accuracy
Testing PE16 DPS voltage force [dps_vf_tb]
 Testing PE16 1 DPSn DACs
 Testing PE16 1 DPSn level accuracy
 Testing PE16 1 DPSn apg level DAC select path
 Testing PE16 1 DPSa DACs
 Testing PE16 1 DPSa level accuracy
 Testing PE16 1 DPSa apg level DAC select path
 Testing PE16 2 DPSn DACs
 Testing PE16 2 DPSn level accuracy
 Testing PE16 2 DPSa DACs
 Testing PE16 2 DPSa level accuracy
 Testing PE16 3 DPSn DACs
 Testing PE16 3 DPSn level accuracy
 Testing PE16 3 DPSa DACs
 Testing PE16 3 DPSa level accuracy
Testing PE16 PMU/DPS current measure [range_resistor_tb]
Testing PE16 PMU_F FETs, VBK FETs, K1 and K2 Relays [relays_tb]
 Testing PMU_F FETs
 Testing VBK FETs
 Testing K1 Relays
 Testing K2 Relays
Testing PE16 PMU comparators [pmu_comp_tb]
 Testing PE16 1 PMU comparator DACs
 Testing PE16 1 PMU comparator accuracy
 Testing PE16 1 PMU comparator apg level DAC select path
 Testing PE16 2 PMU comparator DACs
 Testing PE16 2 PMU comparator accuracy
 Testing PE16 3 PMU comparator DACs
 Testing PE16 3 PMU comparator accuracy
Testing PE16 PMU leakage current [pmu_leakage_tb]
Testing PE16 background voltage [vbk_tb]
 Testing background voltage DACs
 Testing background voltage level accuracy
 Testing background voltage apg level DAC and PE select paths
 Testing background voltage apg level bit weight paths
Testing PE16 VIHH pin level [vihh_tb]
 Testing VIHH DACs
 Testing VIHH level accuracy
 Testing VIHH apg level DAC select path
Testing PE16 VIH pin level [vih_tb]
 Testing VIH DACs
 Testing VIH level accuracy
 Testing VIH apg level DAC select path
Testing PE16 VIL pin level [vil_tb]
 Testing VIL DACs
 Testing VIL level accuracy
 Testing VIL apg level DAC select path
Testing PE16 IOH pin level [ioh_tb]
 Testing IOH level accuracy
Testing PE16 IOL pin level [iol_tb]
 Testing IOL level accuracy
Testing PE16 VZ pin level [vz_tb]
 Testing VZ level accuracy
Testing PE16 VOH pin level [voh_tb]
 Testing VOH DACs
 Testing VOH level accuracy
 Testing VOH apg level DAC select path
Testing PE16 VOL pin level [vol_tb]
 Testing VOL DACs
 Testing VOL level accuracy
 Testing VOL apg level DAC select path
Testing PE16 PMU voltage clamps [pmu_vclamp_tb]
Testing PE16 PMU current limit [pmu_ilimit_tb]
Testing PE16 opto fet leakage [opto_fet_tb]
Testing PE16 DPS current share [dps_share_tb]
Testing PE16 DPS sense resistor bypass diodes [dps_diode_tb]
Testing PE16 DPS compensation capacitors [dps_cap_tb]
Testing PE16 PMU compensation capacitors [pmu_cap_tb]
Testing PE16 DPS current capability [dps_imin_tb]
Testing PE force pins [pe_force_pins_tb]
 Testing PE1
 Testing PE2
 Testing PE3
Testing PE strobe modes [pe_strobe_mode_tb]
 Testing PE1
 Testing PE2
 Testing PE3
Testing PE tg formats [pe_tg_format_tb]
 Testing PE1
 Testing PE2
 Testing PE3
Testing PE tg dclk formats [pe_tg_dclk_format_tb]
 Testing PE1
 Testing PE2
 Testing PE3
Testing PE tg io formats [pe_tg_io_format_tb]
 Testing PE1
 Testing PE2
 Testing PE3
Testing PE tg counters [pe_tg_counter_tb]
 Testing PE1
 Testing PE2
 Testing PE3
Testing PE vihh maps [pe_vihh_map_tb]
 Testing PE1
 Testing PE2
 Testing PE3
Testing PE pin scramble [pe_ps_ad_tb]
 Testing PE1
 Testing PE2
 Testing PE3
Testing PE pin scramble [pe_ps_cs_tb]
 Testing PE1 active low
 Testing PE2 active low
 Testing PE3 active low
 Testing PE1 active high
 Testing PE2 active high
 Testing PE3 active high
Testing PE pin scramble [pe_ps_lvm_tb]
 Testing PE1
 Testing PE2
 Testing PE3
Testing PE pin scramble [pe_ps_scan_tb]
Testing PE mux mode [pe_mux_mode_tb]
 Testing PE1
 Testing PE2
 Testing PE3
Testing PE first error counter [pe_first_error_tb]
 Counter start test, tgmode 0
  Testing PE1
  Testing PE2
  Testing PE3
 Counter start test, tgmode 1
  Testing PE1
  Testing PE2
  Testing PE3
 Counter bit test, tgmode 0
  Testing PE1
  Testing PE2
  Testing PE3
 Counter bit test, tgmode 1
  Testing PE1
  Testing PE2
  Testing PE3
Testing PE error [pe_error_flag_tb]
 Testing PE1
 Testing PE2
 Testing PE3
Testing PE abort [pe_abort_tb]
 Testing PE1
 Testing PE2
 Testing PE3
Testing PE VAR Path (pe_var_path_tb)
 Testing PE1
 Testing PE2
 Testing PE3
Testing PE Real Time Error Catch Counter [pe_rtec_counter_tb]
Testing ECR X Scramble RAM - short march [ecr_xscram_short_march_tb]
    X Scramble depth is 0x8000
Testing ECR Y Scramble RAM - short march [ecr_yscram_short_march_tb]
    Y Scramble depth is 0x8000
Testing ECR Row Capture RAM - short march [ecr_rowram_short_march_tb]
    Row RAM depth is 0x8000
Testing ECR Column Capture RAM - short march [ecr_colram_short_march_tb]
    Column RAM depth is 0x8000
Testing ECR Main Capture RAM - short march [ecr_mainram_short_march_tb]
    Main RAM depth is 0x400000
Testing ECR Scanning of Row Catch RAM [ecr_row_scan_tb]
Testing ECR Scanning of Column Catch RAM [ecr_col_scan_tb]
Testing ECR Scanning of Main Catch RAM [ecr_main_scan_tb]
    Main RAM depth is 0x400000
      Scanning X and Y
      Varying data widths
         x32, 0xb X, 0xb Y
         x16, 0xc X, 0xb Y
         x8, 0xd X, 0xb Y
         x4, 0xe X, 0xb Y
         x2, 0xf X, 0xb Y
         x1, 0xf X, 0xc Y
      Scanning X only
      Scanning Y only
Testing ECR Error Catching [ecr_error_catching_tb]
    Data Crosspoint
       1st pin list, 0x24 pins
       2nd pin list, 0x14 pins
       Varying data widths
    Address Crosspoint
Testing ECR Logic Error Catching [ecr_logic_error_catch_tb]
    First Vectors
    Last Vectors
    Before Error
    After Error
    Only Errors
    Center Error
SystemDiag summary [diag_summary_tb]
    Pass number : 1
    Time for this pass : 00:01:39
    Total time : 00:01:41
Final Bin: pass_bin
Done: 04/29/20 07:51:05
TestDone...bin = pass_bin</t>
  </si>
  <si>
    <t xml:space="preserve">99383</t>
  </si>
  <si>
    <t xml:space="preserve">MAVERICK PT II</t>
  </si>
  <si>
    <t xml:space="preserve">-IN WORKING CONDITION
-SEE ATTACHED PHOTO FOR DETAILS
-Diagnostic report:-
The test program is loaded
TestStarted(1)...
Started: 05/18/20 14:51:25
                                       Site 1
  Board      Serial    PWB    PWB   PWA    PWA   LVM    DBM    Scan   ECR   
 X     Y     D
  Name       Number   Number  Rev  Number  Rev  Kbits  Mbits  Mbits  Mbits  
bits  bits  bits
---------------------------------------------------------------------------------------------
   PTI       x   500000    3  500001    7                                   
   PE1       x   501683    3  501873    9      0                            
   PE2       x   501863    3  501873    9      0                            
   PE3       x   501683    4  501873   10      0                            
   APG       x   501682    3  501872   36      0     36      0              
   ECR       x   500732    9  501255   17                         36    10  
  10    36  
Nextest software release:  C:\nextest\v2.13.16-LITE\Bin\Ui.exe
Testing APG read,write registers via cpu [apg_rw_regs_tb]
       Address registers and LBDATA
       MAR and INTA
       JAM, DATA, INDEX, VAR and SCAN PTR
       Unique values
Testing APG counter RAM - short march [apg_counter_ram_short_march_tb]
Testing APG reload RAM - short march [apg_reload_ram_short_march_tb]
Testing APG DTOPO RAM - short march [apg_dtopo_ram_short_march_tb]
Testing APG uRAM - short march [apg_uram_ram_short_march_tb]
Testing APG Cycle Length RAM - short march [apg_cycle_ram_short_march_tb]
Testing APG DAC RAM - short march [apg_dac_ram_short_march_tb]
Testing APG ATOPO RAM - short march [apg_atopo_ram_short_march_tb]
Testing APG SCAN RAM - short march [apg_scan_ram_short_march_tb]
    No SCAN RAM present - skipping test.  1, 1
Testing APG Buffer Memory - short march [apg_buf_ram_short_march_tb]
    Buffer Memory depth is 0x100000 - 0x400 X, 0x400 Y
Testing APG VAR Counter RAM [apg_vector_ram_march_tb]
Testing APG vRAM - short march [apg_vram_ram_short_march_tb]
    No LVM Memory present - skipping test.  0x0
Testing APG counter functions [apg_counter_tests_tb]
    Pattern start is at c5
    Counter loading
    Counter address
    Reload loading
    Reload address
    Reload counters from reload registers
    Counter DECR
    Counter INCR
    Counter DECR2
Testing APG MAR increments, stack nesting [apg_mar_and_stack_tests_tb]
   MAR increments
   Stack nesting, 1st pass
   Stack nesting, 2nd pass
   Stack nesting, 50nS
   Stack nesting, 30nS
Testing APG counter branching [apg_counter_branching_tb]
    Pattern start is at 1fe
Testing APG timer branching and accuracy [apg_timer_branching_tb]
    Pattern start is at 34e
Testing APG interrupt branch logic and addressing 
[apg_interrupt_branching_tb]
    Pattern start is at 2f4
Testing APG address generators [apg_address_generators_tb]
    Pattern start is at 20a
    Checking uDATA loads
    Checking COMP function
    Checking logic functions
    Checking add
    Checking subtract
    Checking decrement and increment
    Checking Y to X carries and borrows
    Checking X to Y carries and borrows
Testing APG data generator [apg_data_generator_tb]
    Pattern start is at 328
    Checking uDATA loads
    Count up and down with shift left, 18 bit register
    Shift right, 18 bit register
    Rotate left, 18 bit register
    Rotate right, 18 bit register
    Rotate left, 36 bit register
    Rotate right, 36 bit register
    Shift left, 36 bit register
    Shift right, 36 bit register
Testing APG error pipelines [apg_error_pipe_tb]
Testing APG data paths [apg_data_paths_tb]
    Buffer Memory depth is 0x100000 - 0x400 X, 0x400 Y
    Pattern start is at 49f
    Checking JAM and Data Register Paths
    Checking Buffer Memory Path
    Checking Buffer Memory Writes
    Checking Buffer Memory x18 Path
    Checking Buffer Memory x18 Writes
       30nS writes
Testing APG data inversions [apg_data_inversions_tb]
    Pattern start is at 374
    Checking bit2 functions
    Checking bit1 functions
    Check bit1, bit2 logical combinations
        AND
        OR
        XOR
    Check X and Y parity
        xyodd
        xyeven
        xeven_yodd
        xodd_yeven
        xodd
        xeven
        yodd
        yeven
    Check DTOPO inversions
        X or Y
        X and Y
        X xor Y
    Check Yindex counter
    Check Yindex inversions
          Yindex masks
          yindex plus Y, yindex = 0xffff
          yindex plus Y bar, yindex = 0xffff
          yindex plus Y, Y = 0xffff
          yindex plus Y bar, Y = 0x0000
    Pattern start is at 3f5
          xmain equal to xbase (XEQB)
          xmain less than xbase (XLTB)
          xmain less than or equal to xbase (XLEB)
          xmain equal to xfield or xbase (XEQBORF)
          ymain equal to ybase (YEQB)
          ymain less than ybase (YLTB)
          ymain less than or equal to ybase (YLEB)
          ymain equal to yfield or ybase (YEQBORF)
          xymain equal to xybase (XYEQB)
          xymain less than xybase (XYLTBXF)
          xymain less than xybase (XYLTBYF)
          xymain less than or equal to xybase (XYLEBXF)
          xymain less than or equal to xybase (XYLEBYF)
          inversion from uRAM (INVSNS)
          inversion from uDATA (XORINV)
Testing APG scan pointer [apg_scan_address_tb]
    Pattern start is at 48f
Testing APG vector address (VAR) [apg_vector_address_tb]
    Pattern start is at 494
Testing APG VAR counter functions [apg_var_counter_tests_tb]
    No LVM Memory present
Testing APG VAR increments, stack nesting [apg_var_and_stack_tests_tb]
    No LVM Memory present
Testing APG VAR counter branching [apg_var_counter_branching_tb]
    No LVM Memory present
Testing APG RAM read only paths [apg_ram_current_outputs_tb]
Testing PE TG count RAM [pe_tg_count_march_tb]
 Testing PE1
 Testing PE2
 Testing PE3
Testing PE TG format RAM [pe_tg_format_march_tb]
 Testing PE1
 Testing PE2
 Testing PE3
Testing PE VIHH RAM [pe_vihh_march_tb]
 Testing PE1
 Testing PE2
 Testing PE3
Testing PE Pin Scramble RAM [pe_psram_march_tb]
 Testing PE1
 Testing PE2
 Testing PE3
Testing PE LVM RAM [pe_lvm_march_tb]
    No PE LVM Memory present - skipping test.
Testing PE Broadcast mode [pe_broadcast_tb]
 Testing PE1
 Testing PE2
 Testing PE3
Testing PE16 ADC [adc_tb]
Testing PE16 PMU current force [pmu_if_tb]
 Testing PE16 1 PMU current force DACs
 Testing PE16 1 PMU current force level accuracy
 Testing PE16 1 PMU current force apg level DAC select path
 Testing PE16 2 PMU current force DACs
 Testing PE16 2 PMU current force level accuracy
 Testing PE16 3 PMU current force DACs
 Testing PE16 3 PMU current force level accuracy
Testing PE16 PMU voltage force [pmu_vf_tb]
 Testing PE16 1 PMU voltage force DACs
 Testing PE16 1 PMU voltage force level accuracy
 Testing PE16 1 PMU voltage force apg level DAC select path
 Testing PE16 2 PMU voltage force DACs
 Testing PE16 2 PMU voltage force level accuracy
 Testing PE16 3 PMU voltage force DACs
 Testing PE16 3 PMU voltage force level accuracy
Testing PE16 DPS voltage force [dps_vf_tb]
 Testing PE16 1 DPSn DACs
 Testing PE16 1 DPSn level accuracy
 Testing PE16 1 DPSn apg level DAC select path
 Testing PE16 1 DPSa DACs
 Testing PE16 1 DPSa level accuracy
 Testing PE16 1 DPSa apg level DAC select path
 Testing PE16 2 DPSn DACs
 Testing PE16 2 DPSn level accuracy
 Testing PE16 2 DPSa DACs
 Testing PE16 2 DPSa level accuracy
 Testing PE16 3 DPSn DACs
 Testing PE16 3 DPSn level accuracy
 Testing PE16 3 DPSa DACs
 Testing PE16 3 DPSa level accuracy
Testing PE16 PMU/DPS current measure [range_resistor_tb]
Testing PE16 PMU_F FETs, VBK FETs, K1 and K2 Relays [relays_tb]
 Testing PMU_F FETs
 Testing VBK FETs
 Testing K1 Relays
 Testing K2 Relays
Testing PE16 PMU comparators [pmu_comp_tb]
 Testing PE16 1 PMU comparator DACs
 Testing PE16 1 PMU comparator accuracy
 Testing PE16 1 PMU comparator apg level DAC select path
 Testing PE16 2 PMU comparator DACs
 Testing PE16 2 PMU comparator accuracy
 Testing PE16 3 PMU comparator DACs
 Testing PE16 3 PMU comparator accuracy
Testing PE16 PMU leakage current [pmu_leakage_tb]
Testing PE16 background voltage [vbk_tb]
 Testing background voltage DACs
 Testing background voltage level accuracy
 Testing background voltage apg level DAC and PE select paths
 Testing background voltage apg level bit weight paths
Testing PE16 VIHH pin level [vihh_tb]
 Testing VIHH DACs
 Testing VIHH level accuracy
 Testing VIHH apg level DAC select path
Testing PE16 VIH pin level [vih_tb]
 Testing VIH DACs
 Testing VIH level accuracy
 Testing VIH apg level DAC select path
 Testing VIH offset level accuracy
Testing PE16 VIL pin level [vil_tb]
 Testing VIL DACs
 Testing VIL level accuracy
 Testing VIL apg level DAC select path
 Testing VIL offset level accuracy
Testing PE16 IOH pin level [ioh_tb]
 Testing IOH level accuracy
Testing PE16 IOL pin level [iol_tb]
 Testing IOL level accuracy
Testing PE16 VZ pin level [vz_tb]
 Testing VZ level accuracy
Testing PE16 VOH pin level [voh_tb]
 Testing VOH DACs
 Testing VOH level accuracy
 Testing VOH apg level DAC select path
Testing PE16 VOL pin level [vol_tb]
 Testing VOL DACs
 Testing VOL level accuracy
 Testing VOL apg level DAC select path
Testing PE16 PMU voltage clamps [pmu_vclamp_tb]
Testing PE16 PMU current limit [pmu_ilimit_tb]
Testing PE16 DPS switches [dps_switch_tb]
Testing PE16 DPS current share [dps_share_tb]
Testing PE16 DPS sense resistor bypass diodes [dps_diode_tb]
Testing PE16 DPS compensation capacitors [dps_cap_tb]
Testing PE16 PMU compensation capacitors [pmu_cap_tb]
Testing PE16 DPS current capability [dps_imin_tb]
Testing PE force pins [pe_force_pins_tb]
 Testing PE1
 Testing PE2
 Testing PE3
Testing PE strobe modes [pe_strobe_mode_tb]
 Testing PE1
 Testing PE2
 Testing PE3
Testing PE tg formats [pe_tg_format_tb]
 Testing PE1
 Testing PE2
 Testing PE3
Testing PE tg dclk formats [pe_tg_dclk_format_tb]
 Testing PE1
 Testing PE2
 Testing PE3
Testing PE tg io formats [pe_tg_io_format_tb]
 Testing PE1
 Testing PE2
 Testing PE3
Testing PE tg counters [pe_tg_counter_tb]
 Testing PE1
 Testing PE2
 Testing PE3
Testing PE vihh maps [pe_vihh_map_tb]
 Testing PE1
 Testing PE2
 Testing PE3
Testing PE pin scramble [pe_ps_ad_tb]
 Testing PE1
 Testing PE2
 Testing PE3
Testing PE pin scramble [pe_ps_cs_tb]
 Testing PE1 active low
 Testing PE2 active low
 Testing PE3 active low
 Testing PE1 active high
 Testing PE2 active high
 Testing PE3 active high
Testing PE pin scramble [pe_ps_lvm_tb]
Testing PE pin scramble [pe_ps_scan_tb]
Testing PE mux mode [pe_mux_mode_tb]
 Testing PE1
 Testing PE2
 Testing PE3
Testing PE first error counter [pe_first_error_tb]
 Counter start test, tgmode 0
  Testing PE1
  Testing PE2
  Testing PE3
 Counter start test, tgmode 1
  Testing PE1
  Testing PE2
  Testing PE3
 Counter bit test, tgmode 0
  Testing PE1
  Testing PE2
  Testing PE3
 Counter bit test, tgmode 1
  Testing PE1
  Testing PE2
  Testing PE3
Testing PE error [pe_error_flag_tb]
 Testing PE1
 Testing PE2
 Testing PE3
Testing PE abort [pe_abort_tb]
 Testing PE1
 Testing PE2
 Testing PE3
Testing PE VAR Path (pe_var_path_tb)
 Testing PE1
  PE1 NO LVM Present.  Skipping test.
 Testing PE2
  PE2 NO LVM Present.  Skipping test.
 Testing PE3
  PE3 NO LVM Present.  Skipping test.
Testing PE Real Time Error Catch Counter [pe_rtec_counter_tb]
  Testing PE1
  Testing PE2
  Testing PE3
Testing ECR X Scramble RAM - short march [ecr_xscram_short_march_tb]
    X Scramble depth is 0x8000
Testing ECR Y Scramble RAM - short march [ecr_yscram_short_march_tb]
    Y Scramble depth is 0x8000
Testing ECR Row Capture RAM - short march [ecr_rowram_short_march_tb]
    Row RAM depth is 0x8000
Testing ECR Column Capture RAM - short march [ecr_colram_short_march_tb]
    Column RAM depth is 0x8000
Testing ECR Main Capture RAM - short march [ecr_mainram_short_march_tb]
    Main RAM depth is 0x100000
Testing ECR Scanning of Row Catch RAM [ecr_row_scan_tb]
Testing ECR Scanning of Column Catch RAM [ecr_col_scan_tb]
Testing ECR Scanning of Main Catch RAM [ecr_main_scan_tb]
    Main RAM depth is 0x100000
      Scanning X and Y
      Varying data widths
         x32, 0xa X, 0xa Y
         x16, 0xb X, 0xa Y
         x8, 0xc X, 0xa Y
         x4, 0xd X, 0xa Y
         x2, 0xe X, 0xa Y
         x1, 0xf X, 0xa Y
      Scanning X only
      Scanning Y only
Testing ECR Error Catching [ecr_error_catching_tb]
    Data Crosspoint
       1st pin list, 0x24 pins
       2nd pin list, 0x14 pins
       Varying data widths
    Address Crosspoint
Testing ECR Logic Error Catching [ecr_logic_error_catch_tb]
    First Vectors
    Last Vectors
    Before Error
    After Error
    Only Errors
    Center Error
Testing ECR DDR Capture [ecr_ddr_capture_tb]
    DDR Capture
SystemDiag summary [diag_summary_tb]
    Pass number : 1
    Time for this pass : 00:02:08
    Total time : 00:02:10
Final Bin: pass_bin
Done: 05/18/20 14:53:33
TestDone...bin = pass_bin
</t>
  </si>
  <si>
    <t xml:space="preserve">99384</t>
  </si>
  <si>
    <t xml:space="preserve">-in working condition
-see attached photo for details
-Diagnostic report:-
The test program is loaded
TestStarted(1)...
Started: 05/18/20 08:34:47
                                       Site 1
  Board      Serial    PWB    PWB   PWA    PWA   LVM    DBM    Scan   ECR   
 X     Y     D
  Name       Number   Number  Rev  Number  Rev  Kbits  Mbits  Mbits  Mbits  
bits  bits  bits
---------------------------------------------------------------------------------------------
   PTI       X   500000    3  500001    7                                   
   PE1       X   501683    4  501873   10      0                            
   PE2       X   501683    4  501873   10      0                            
   PE3       X   501683    4  501873   10      0                            
   APG       X   501682    3  501872   36      0    288      8              
   ECR       X   500732    9  509313   25                        288    12  
  11    36  
Nextest software release:  C:\nextest\v2.13.16-LITE\Bin\Ui.exe
Testing APG read,write registers via cpu [apg_rw_regs_tb]
       Address registers and LBDATA
       MAR and INTA
       JAM, DATA, INDEX, VAR and SCAN PTR
       Unique values
Testing APG counter RAM - short march [apg_counter_ram_short_march_tb]
Testing APG reload RAM - short march [apg_reload_ram_short_march_tb]
Testing APG DTOPO RAM - short march [apg_dtopo_ram_short_march_tb]
Testing APG uRAM - short march [apg_uram_ram_short_march_tb]
Testing APG Cycle Length RAM - short march [apg_cycle_ram_short_march_tb]
Testing APG DAC RAM - short march [apg_dac_ram_short_march_tb]
Testing APG ATOPO RAM - short march [apg_atopo_ram_short_march_tb]
Testing APG SCAN RAM - short march [apg_scan_ram_short_march_tb]
    SCAN RAM depth is 0x100000
Testing APG Buffer Memory - short march [apg_buf_ram_short_march_tb]
    Buffer Memory depth is 0x800000 - 0x1000 X, 0x800 Y
Testing APG VAR Counter RAM [apg_vector_ram_march_tb]
Testing APG vRAM - short march [apg_vram_ram_short_march_tb]
    No LVM Memory present - skipping test.  0x0
Testing APG counter functions [apg_counter_tests_tb]
    Pattern start is at c5
    Counter loading
    Counter address
    Reload loading
    Reload address
    Reload counters from reload registers
    Counter DECR
    Counter INCR
    Counter DECR2
Testing APG MAR increments, stack nesting [apg_mar_and_stack_tests_tb]
   MAR increments
   Stack nesting, 1st pass
   Stack nesting, 2nd pass
   Stack nesting, 50nS
   Stack nesting, 30nS
Testing APG counter branching [apg_counter_branching_tb]
    Pattern start is at 1fe
Testing APG timer branching and accuracy [apg_timer_branching_tb]
    Pattern start is at 34e
Testing APG interrupt branch logic and addressing 
[apg_interrupt_branching_tb]
    Pattern start is at 2f4
Testing APG address generators [apg_address_generators_tb]
    Pattern start is at 20a
    Checking uDATA loads
    Checking COMP function
    Checking logic functions
    Checking add
    Checking subtract
    Checking decrement and increment
    Checking Y to X carries and borrows
    Checking X to Y carries and borrows
Testing APG data generator [apg_data_generator_tb]
    Pattern start is at 328
    Checking uDATA loads
    Count up and down with shift left, 18 bit register
    Shift right, 18 bit register
    Rotate left, 18 bit register
    Rotate right, 18 bit register
    Rotate left, 36 bit register
    Rotate right, 36 bit register
    Shift left, 36 bit register
    Shift right, 36 bit register
Testing APG error pipelines [apg_error_pipe_tb]
Testing APG data paths [apg_data_paths_tb]
    Buffer Memory depth is 0x800000 - 0x1000 X, 0x800 Y
    Pattern start is at 49f
    Checking JAM and Data Register Paths
    Checking Buffer Memory Path
    Checking Buffer Memory Writes
    Checking Buffer Memory x18 Path
    Checking Buffer Memory x18 Writes
       30nS writes
Testing APG data inversions [apg_data_inversions_tb]
    Pattern start is at 374
    Checking bit2 functions
    Checking bit1 functions
    Check bit1, bit2 logical combinations
        AND
        OR
        XOR
    Check X and Y parity
        xyodd
        xyeven
        xeven_yodd
        xodd_yeven
        xodd
        xeven
        yodd
        yeven
    Check DTOPO inversions
        X or Y
        X and Y
        X xor Y
    Check Yindex counter
    Check Yindex inversions
          Yindex masks
          yindex plus Y, yindex = 0xffff
          yindex plus Y bar, yindex = 0xffff
          yindex plus Y, Y = 0xffff
          yindex plus Y bar, Y = 0x0000
    Pattern start is at 3f5
          xmain equal to xbase (XEQB)
          xmain less than xbase (XLTB)
          xmain less than or equal to xbase (XLEB)
          xmain equal to xfield or xbase (XEQBORF)
          ymain equal to ybase (YEQB)
          ymain less than ybase (YLTB)
          ymain less than or equal to ybase (YLEB)
          ymain equal to yfield or ybase (YEQBORF)
          xymain equal to xybase (XYEQB)
          xymain less than xybase (XYLTBXF)
          xymain less than xybase (XYLTBYF)
          xymain less than or equal to xybase (XYLEBXF)
          xymain less than or equal to xybase (XYLEBYF)
          inversion from uRAM (INVSNS)
          inversion from uDATA (XORINV)
Testing APG scan pointer [apg_scan_address_tb]
    Pattern start is at 48f
Testing APG vector address (VAR) [apg_vector_address_tb]
    Pattern start is at 494
Testing APG VAR counter functions [apg_var_counter_tests_tb]
    No LVM Memory present
Testing APG VAR increments, stack nesting [apg_var_and_stack_tests_tb]
    No LVM Memory present
Testing APG VAR counter branching [apg_var_counter_branching_tb]
    No LVM Memory present
Testing APG RAM read only paths [apg_ram_current_outputs_tb]
Testing PE TG count RAM [pe_tg_count_march_tb]
 Testing PE1
 Testing PE2
 Testing PE3
Testing PE TG format RAM [pe_tg_format_march_tb]
 Testing PE1
 Testing PE2
 Testing PE3
Testing PE VIHH RAM [pe_vihh_march_tb]
 Testing PE1
 Testing PE2
 Testing PE3
Testing PE Pin Scramble RAM [pe_psram_march_tb]
 Testing PE1
 Testing PE2
 Testing PE3
Testing PE LVM RAM [pe_lvm_march_tb]
    No PE LVM Memory present - skipping test.
Testing PE Broadcast mode [pe_broadcast_tb]
 Testing PE1
 Testing PE2
 Testing PE3
Testing PE16 ADC [adc_tb]
Testing PE16 PMU current force [pmu_if_tb]
 Testing PE16 1 PMU current force DACs
 Testing PE16 1 PMU current force level accuracy
 Testing PE16 1 PMU current force apg level DAC select path
 Testing PE16 2 PMU current force DACs
 Testing PE16 2 PMU current force level accuracy
 Testing PE16 3 PMU current force DACs
 Testing PE16 3 PMU current force level accuracy
Testing PE16 PMU voltage force [pmu_vf_tb]
 Testing PE16 1 PMU voltage force DACs
 Testing PE16 1 PMU voltage force level accuracy
 Testing PE16 1 PMU voltage force apg level DAC select path
 Testing PE16 2 PMU voltage force DACs
 Testing PE16 2 PMU voltage force level accuracy
 Testing PE16 3 PMU voltage force DACs
 Testing PE16 3 PMU voltage force level accuracy
Testing PE16 DPS voltage force [dps_vf_tb]
 Testing PE16 1 DPSn DACs
 Testing PE16 1 DPSn level accuracy
 Testing PE16 1 DPSn apg level DAC select path
 Testing PE16 1 DPSa DACs
 Testing PE16 1 DPSa level accuracy
 Testing PE16 1 DPSa apg level DAC select path
 Testing PE16 2 DPSn DACs
 Testing PE16 2 DPSn level accuracy
 Testing PE16 2 DPSa DACs
 Testing PE16 2 DPSa level accuracy
 Testing PE16 3 DPSn DACs
 Testing PE16 3 DPSn level accuracy
 Testing PE16 3 DPSa DACs
 Testing PE16 3 DPSa level accuracy
Testing PE16 PMU/DPS current measure [range_resistor_tb]
Testing PE16 PMU_F FETs, VBK FETs, K1 and K2 Relays [relays_tb]
 Testing PMU_F FETs
 Testing VBK FETs
 Testing K1 Relays
 Testing K2 Relays
Testing PE16 PMU comparators [pmu_comp_tb]
 Testing PE16 1 PMU comparator DACs
 Testing PE16 1 PMU comparator accuracy
 Testing PE16 1 PMU comparator apg level DAC select path
 Testing PE16 2 PMU comparator DACs
 Testing PE16 2 PMU comparator accuracy
 Testing PE16 3 PMU comparator DACs
 Testing PE16 3 PMU comparator accuracy
Testing PE16 PMU leakage current [pmu_leakage_tb]
Testing PE16 background voltage [vbk_tb]
 Testing background voltage DACs
 Testing background voltage level accuracy
 Testing background voltage apg level DAC and PE select paths
 Testing background voltage apg level bit weight paths
Testing PE16 VIHH pin level [vihh_tb]
 Testing VIHH DACs
 Testing VIHH level accuracy
 Testing VIHH apg level DAC select path
Testing PE16 VIH pin level [vih_tb]
 Testing VIH DACs
 Testing VIH level accuracy
 Testing VIH apg level DAC select path
 Testing VIH offset level accuracy
Testing PE16 VIL pin level [vil_tb]
 Testing VIL DACs
 Testing VIL level accuracy
 Testing VIL apg level DAC select path
 Testing VIL offset level accuracy
Testing PE16 IOH pin level [ioh_tb]
 Testing IOH level accuracy
Testing PE16 IOL pin level [iol_tb]
 Testing IOL level accuracy
Testing PE16 VZ pin level [vz_tb]
 Testing VZ level accuracy
Testing PE16 VOH pin level [voh_tb]
 Testing VOH DACs
 Testing VOH level accuracy
 Testing VOH apg level DAC select path
Testing PE16 VOL pin level [vol_tb]
 Testing VOL DACs
 Testing VOL level accuracy
 Testing VOL apg level DAC select path
Testing PE16 PMU voltage clamps [pmu_vclamp_tb]
Testing PE16 PMU current limit [pmu_ilimit_tb]
Testing PE16 DPS switches [dps_switch_tb]
Testing PE16 DPS current share [dps_share_tb]
Testing PE16 DPS sense resistor bypass diodes [dps_diode_tb]
Testing PE16 DPS compensation capacitors [dps_cap_tb]
Testing PE16 PMU compensation capacitors [pmu_cap_tb]
Testing PE16 DPS current capability [dps_imin_tb]
Testing PE force pins [pe_force_pins_tb]
 Testing PE1
 Testing PE2
 Testing PE3
Testing PE strobe modes [pe_strobe_mode_tb]
 Testing PE1
 Testing PE2
 Testing PE3
Testing PE tg formats [pe_tg_format_tb]
 Testing PE1
 Testing PE2
 Testing PE3
Testing PE tg dclk formats [pe_tg_dclk_format_tb]
 Testing PE1
 Testing PE2
 Testing PE3
Testing PE tg io formats [pe_tg_io_format_tb]
 Testing PE1
 Testing PE2
 Testing PE3
Testing PE tg counters [pe_tg_counter_tb]
 Testing PE1
 Testing PE2
 Testing PE3
Testing PE vihh maps [pe_vihh_map_tb]
 Testing PE1
 Testing PE2
 Testing PE3
Testing PE pin scramble [pe_ps_ad_tb]
 Testing PE1
 Testing PE2
 Testing PE3
Testing PE pin scramble [pe_ps_cs_tb]
 Testing PE1 active low
 Testing PE2 active low
 Testing PE3 active low
 Testing PE1 active high
 Testing PE2 active high
 Testing PE3 active high
Testing PE pin scramble [pe_ps_lvm_tb]
 Testing PE1
 Testing PE2
 Testing PE3
Testing PE pin scramble [pe_ps_scan_tb]
 Testing PE mux mode [pe_mux_mode_tb]
 Testing PE1
 Testing PE2
 Testing PE3
Testing PE first error counter [pe_first_error_tb]
 Counter start test, tgmode 0
  Testing PE1
  Testing PE2
  Testing PE3
 Counter start test, tgmode 1
  Testing PE1
  Testing PE2
  Testing PE3
 Counter bit test, tgmode 0
  Testing PE1
  Testing PE2
  Testing PE3
 Counter bit test, tgmode 1
  Testing PE1
  Testing PE2
  Testing PE3
Testing PE error [pe_error_flag_tb]
 Testing PE1
 Testing PE2
 Testing PE3
Testing PE abort [pe_abort_tb]
 Testing PE1
 Testing PE2
 Testing PE3
Testing PE VAR Path (pe_var_path_tb)
 Testing PE1
  PE1 NO LVM Present.  Skipping test.
 Testing PE2
  PE2 NO LVM Present.  Skipping test.
 Testing PE3
  PE3 NO LVM Present.  Skipping test.
Testing PE Real Time Error Catch Counter [pe_rtec_counter_tb]
  Testing PE1
  Testing PE2
  Testing PE3
Testing ECR X Scramble RAM - short march [ecr_xscram_short_march_tb]
    X Scramble depth is 0x8000
Testing ECR Y Scramble RAM - short march [ecr_yscram_short_march_tb]
    Y Scramble depth is 0x8000
Testing ECR Row Capture RAM - short march [ecr_rowram_short_march_tb]
    Row RAM depth is 0x8000
Testing ECR Column Capture RAM - short march [ecr_colram_short_march_tb]
    Column RAM depth is 0x8000
Testing ECR Main Capture RAM - short march [ecr_mainram_short_march_tb]
    Main RAM depth is 0x800000
Testing ECR Scanning of Row Catch RAM [ecr_row_scan_tb]
Testing ECR Scanning of Column Catch RAM [ecr_col_scan_tb]
Testing ECR Scanning of Main Catch RAM [ecr_main_scan_tb]
    Main RAM depth is 0x800000
      Scanning X and Y
      Varying data widths
         x32, 0xc X, 0xb Y
         x16, 0xd X, 0xb Y
         x8, 0xe X, 0xb Y
         x4, 0xf X, 0xb Y
         x2, 0xf X, 0xc Y
         x1, 0xf X, 0xd Y
      Scanning X only
      Scanning Y only
Testing ECR Error Catching [ecr_error_catching_tb]
    Data Crosspoint
       1st pin list, 0x24 pins
       2nd pin list, 0x14 pins
       Varying data widths
    Address Crosspoint
Testing ECR Logic Error Catching [ecr_logic_error_catch_tb]
    First Vectors
    Last Vectors
    Before Error
    After Error
    Only Errors
    Center Error
Testing ECR DDR Capture [ecr_ddr_capture_tb]
    DDR Capture
SystemDiag summary [diag_summary_tb]
    Pass number : 1
    Time for this pass : 00:02:22
    Total time : 00:02:24
Final Bin: pass_bin
Done: 05/18/20 08:37:11
TestDone...bin = pass_bin</t>
  </si>
  <si>
    <t xml:space="preserve">99385</t>
  </si>
  <si>
    <t xml:space="preserve">-in working condition
-see photo for details
-diagnostic report:-
The test program is loaded
TestStarted(1)...
Started: 05/18/20 10:06:59
                                       Site 1
  Board      Serial    PWB    PWB   PWA    PWA   LVM    DBM    Scan   ECR   
 X     Y     D
  Name       Number   Number  Rev  Number  Rev  Kbits  Mbits  Mbits  Mbits  
bits  bits  bits
---------------------------------------------------------------------------------------------
   PTI       x   500000    3  500001    7                                   
   PE1       x   501683    4  501873   10      0                            
   PE2       x   501683    4  501873   10      0                            
   PE3       x   501683    4  501873   10      0                            
   PE4       x   501683    3  501873    9      0                            
   APG       x   501682    3  501872   32      0    288      8              
   ECR       x   500732    9  509313   25                        288    12  
  11    36  
Nextest software release:  C:\nextest\v2.13.16-LITE\Bin\Ui.exe
Testing APG read,write registers via cpu [apg_rw_regs_tb]
       Address registers and LBDATA
       MAR and INTA
       JAM, DATA, INDEX, VAR and SCAN PTR
       Unique values
Testing APG counter RAM - short march [apg_counter_ram_short_march_tb]
Testing APG reload RAM - short march [apg_reload_ram_short_march_tb]
Testing APG DTOPO RAM - short march [apg_dtopo_ram_short_march_tb]
Testing APG uRAM - short march [apg_uram_ram_short_march_tb]
Testing APG Cycle Length RAM - short march [apg_cycle_ram_short_march_tb]
Testing APG DAC RAM - short march [apg_dac_ram_short_march_tb]
Testing APG ATOPO RAM - short march [apg_atopo_ram_short_march_tb]
Testing APG SCAN RAM - short march [apg_scan_ram_short_march_tb]
    SCAN RAM depth is 0x100000
Testing APG Buffer Memory - short march [apg_buf_ram_short_march_tb]
    Buffer Memory depth is 0x800000 - 0x1000 X, 0x800 Y
Testing APG VAR Counter RAM [apg_vector_ram_march_tb]
Testing APG vRAM - short march [apg_vram_ram_short_march_tb]
    No LVM Memory present - skipping test.  0x0
Testing APG counter functions [apg_counter_tests_tb]
    Pattern start is at c5
    Counter loading
    Counter address
    Reload loading
    Reload address
    Reload counters from reload registers
    Counter DECR
    Counter INCR
    Counter DECR2
Testing APG MAR increments, stack nesting [apg_mar_and_stack_tests_tb]
   MAR increments
   Stack nesting, 1st pass
   Stack nesting, 2nd pass
   Stack nesting, 50nS
   Stack nesting, 30nS
Testing APG counter branching [apg_counter_branching_tb]
    Pattern start is at 1fe
Testing APG timer branching and accuracy [apg_timer_branching_tb]
    Pattern start is at 34e
Testing APG interrupt branch logic and addressing 
[apg_interrupt_branching_tb]
    Pattern start is at 2f4
Testing APG address generators [apg_address_generators_tb]
    Pattern start is at 20a
    Checking uDATA loads
    Checking COMP function
    Checking logic functions
    Checking add
    Checking subtract
    Checking decrement and increment
    Checking Y to X carries and borrows
    Checking X to Y carries and borrows
Testing APG data generator [apg_data_generator_tb]
    Pattern start is at 328
    Checking uDATA loads
    Count up and down with shift left, 18 bit register
    Shift right, 18 bit register
    Rotate left, 18 bit register
    Rotate right, 18 bit register
    Rotate left, 36 bit register
    Rotate right, 36 bit register
    Shift left, 36 bit register
    Shift right, 36 bit register
Testing APG error pipelines [apg_error_pipe_tb]
Testing APG data paths [apg_data_paths_tb]
    Buffer Memory depth is 0x800000 - 0x1000 X, 0x800 Y
    Pattern start is at 49f
    Checking JAM and Data Register Paths
    Checking Buffer Memory Path
    Checking Buffer Memory Writes
    Checking Buffer Memory x18 Path
    Checking Buffer Memory x18 Writes
       30nS writes
Testing APG data inversions [apg_data_inversions_tb]
    Pattern start is at 374
    Checking bit2 functions
    Checking bit1 functions
    Check bit1, bit2 logical combinations
        AND
        OR
        XOR
    Check X and Y parity
        xyodd
        xyeven
        xeven_yodd
        xodd_yeven
        xodd
        xeven
        yodd
        yeven
    Check DTOPO inversions
        X or Y
        X and Y
        X xor Y
    Check Yindex counter
    Check Yindex inversions
          Yindex masks
          yindex plus Y, yindex = 0xffff
          yindex plus Y bar, yindex = 0xffff
          yindex plus Y, Y = 0xffff
          yindex plus Y bar, Y = 0x0000
    Pattern start is at 3f5
          xmain equal to xbase (XEQB)
          xmain less than xbase (XLTB)
          xmain less than or equal to xbase (XLEB)
          xmain equal to xfield or xbase (XEQBORF)
          ymain equal to ybase (YEQB)
          ymain less than ybase (YLTB)
          ymain less than or equal to ybase (YLEB)
          ymain equal to yfield or ybase (YEQBORF)
          xymain equal to xybase (XYEQB)
          xymain less than xybase (XYLTBXF)
          xymain less than xybase (XYLTBYF)
          xymain less than or equal to xybase (XYLEBXF)
          xymain less than or equal to xybase (XYLEBYF)
          inversion from uRAM (INVSNS)
          inversion from uDATA (XORINV)
Testing APG scan pointer [apg_scan_address_tb]
    Pattern start is at 48f
Testing APG vector address (VAR) [apg_vector_address_tb]
    Pattern start is at 494
Testing APG VAR counter functions [apg_var_counter_tests_tb]
    No LVM Memory present
Testing APG VAR increments, stack nesting [apg_var_and_stack_tests_tb]
    No LVM Memory present
Testing APG VAR counter branching [apg_var_counter_branching_tb]
    No LVM Memory present
Testing APG RAM read only paths [apg_ram_current_outputs_tb]
Testing PE TG count RAM [pe_tg_count_march_tb]
 Testing PE1
 Testing PE2
 Testing PE3
 Testing PE4
Testing PE TG format RAM [pe_tg_format_march_tb]
 Testing PE1
 Testing PE2
 Testing PE3
 Testing PE4
Testing PE VIHH RAM [pe_vihh_march_tb]
 Testing PE1
 Testing PE2
 Testing PE3
 Testing PE4
Testing PE Pin Scramble RAM [pe_psram_march_tb]
 Testing PE1
 Testing PE2
 Testing PE3
 Testing PE4
Testing PE LVM RAM [pe_lvm_march_tb]
    No PE LVM Memory present - skipping test.
Testing PE Broadcast mode [pe_broadcast_tb]
 Testing PE1
 Testing PE2
 Testing PE3
 Testing PE4
Testing PE16 ADC [adc_tb]
Testing PE16 PMU current force [pmu_if_tb]
 Testing PE16 1 PMU current force DACs
 Testing PE16 1 PMU current force level accuracy
 Testing PE16 1 PMU current force apg level DAC select path
 Testing PE16 2 PMU current force DACs
 Testing PE16 2 PMU current force level accuracy
 Testing PE16 3 PMU current force DACs
 Testing PE16 3 PMU current force level accuracy
 Testing PE16 4 PMU current force DACs
 Testing PE16 4 PMU current force level accuracy
Testing PE16 PMU voltage force [pmu_vf_tb]
 Testing PE16 1 PMU voltage force DACs
 Testing PE16 1 PMU voltage force level accuracy
 Testing PE16 1 PMU voltage force apg level DAC select path
 Testing PE16 2 PMU voltage force DACs
 Testing PE16 2 PMU voltage force level accuracy
 Testing PE16 3 PMU voltage force DACs
 Testing PE16 3 PMU voltage force level accuracy
 Testing PE16 4 PMU voltage force DACs
 Testing PE16 4 PMU voltage force level accuracy
Testing PE16 DPS voltage force [dps_vf_tb]
 Testing PE16 1 DPSn DACs
 Testing PE16 1 DPSn level accuracy
 Testing PE16 1 DPSn apg level DAC select path
 Testing PE16 1 DPSa DACs
 Testing PE16 1 DPSa level accuracy
 Testing PE16 1 DPSa apg level DAC select path
 Testing PE16 2 DPSn DACs
 Testing PE16 2 DPSn level accuracy
 Testing PE16 2 DPSa DACs
 Testing PE16 2 DPSa level accuracy
 Testing PE16 3 DPSn DACs
 Testing PE16 3 DPSn level accuracy
 Testing PE16 3 DPSa DACs
 Testing PE16 3 DPSa level accuracy
 Testing PE16 4 DPSn DACs
 Testing PE16 4 DPSn level accuracy
 Testing PE16 4 DPSa DACs
 Testing PE16 4 DPSa level accuracy
Testing PE16 PMU/DPS current measure [range_resistor_tb]
Testing PE16 PMU_F FETs, VBK FETs, K1 and K2 Relays [relays_tb]
 Testing PMU_F FETs
 Testing VBK FETs
 Testing K1 Relays
 Testing K2 Relays
Testing PE16 PMU comparators [pmu_comp_tb]
 Testing PE16 1 PMU comparator DACs
 Testing PE16 1 PMU comparator accuracy
 Testing PE16 1 PMU comparator apg level DAC select path
 Testing PE16 2 PMU comparator DACs
 Testing PE16 2 PMU comparator accuracy
 Testing PE16 3 PMU comparator DACs
 Testing PE16 3 PMU comparator accuracy
 Testing PE16 4 PMU comparator DACs
 Testing PE16 4 PMU comparator accuracy
Testing PE16 PMU leakage current [pmu_leakage_tb]
Testing PE16 background voltage [vbk_tb]
 Testing background voltage DACs
 Testing background voltage level accuracy
 Testing background voltage apg level DAC and PE select paths
 Testing background voltage apg level bit weight paths
Testing PE16 VIHH pin level [vihh_tb]
 Testing VIHH DACs
 Testing VIHH level accuracy
 Testing VIHH apg level DAC select path
Testing PE16 VIH pin level [vih_tb]
 Testing VIH DACs
 Testing VIH level accuracy
 Testing VIH apg level DAC select path
 Testing VIH offset level accuracy
Testing PE16 VIL pin level [vil_tb]
 Testing VIL DACs
 Testing VIL level accuracy
 Testing VIL apg level DAC select path
 Testing VIL offset level accuracy
Testing PE16 IOH pin level [ioh_tb]
 Testing IOH level accuracy
Testing PE16 IOL pin level [iol_tb]
 Testing IOL level accuracy
Testing PE16 VZ pin level [vz_tb]
 Testing VZ level accuracy
Testing PE16 VOH pin level [voh_tb]
 Testing VOH DACs
 Testing VOH level accuracy
 Testing VOH apg level DAC select path
Testing PE16 VOL pin level [vol_tb]
 Testing VOL DACs
 Testing VOL level accuracy
 Testing VOL apg level DAC select path
Testing PE16 PMU voltage clamps [pmu_vclamp_tb]
Testing PE16 PMU current limit [pmu_ilimit_tb]
Testing PE16 DPS switches [dps_switch_tb]
Testing PE16 DPS current share [dps_share_tb]
Testing PE16 DPS sense resistor bypass diodes [dps_diode_tb]
Testing PE16 DPS compensation capacitors [dps_cap_tb]
Testing PE16 PMU compensation capacitors [pmu_cap_tb]
Testing PE16 DPS current capability [dps_imin_tb]
Testing PE force pins [pe_force_pins_tb]
 Testing PE1
 Testing PE2
 Testing PE3
 Testing PE4
Testing PE strobe modes [pe_strobe_mode_tb]
 Testing PE1
 Testing PE2
 Testing PE3
 Testing PE4
Testing PE tg formats [pe_tg_format_tb]
 Testing PE1
 Testing PE2
 Testing PE3
 Testing PE4
Testing PE tg dclk formats [pe_tg_dclk_format_tb]
 Testing PE1
 Testing PE2
 Testing PE3
 Testing PE4
Testing PE tg io formats [pe_tg_io_format_tb]
 Testing PE1
 Testing PE2
 Testing PE3
 Testing PE4
Testing PE tg counters [pe_tg_counter_tb]
 Testing PE1
 Testing PE2
 Testing PE3
 Testing PE4
Testing PE vihh maps [pe_vihh_map_tb]
 Testing PE1
 Testing PE2
 Testing PE3
 Testing PE4
Testing PE pin scramble [pe_ps_ad_tb]
 Testing PE1
 Testing PE2
 Testing PE3
 Testing PE4
Testing PE pin scramble [pe_ps_cs_tb]
 Testing PE1 active low
 Testing PE2 active low
 Testing PE3 active low
 Testing PE4 active low
 Testing PE1 active high
 Testing PE2 active high
 Testing PE3 active high
 Testing PE4 active high
Testing PE pin scramble [pe_ps_lvm_tb]
Testing PE pin scramble [pe_ps_scan_tb]
 Testing PE1
 Testing PE2
 Testing PE3
 Testing PE4
Testing PE mux mode [pe_mux_mode_tb]
 Testing PE1
 Testing PE2
 Testing PE3
 Testing PE4
Testing PE first error counter [pe_first_error_tb]
 Counter start test, tgmode 0
  Testing PE1
  Testing PE2
  Testing PE3
  Testing PE4
 Counter start test, tgmode 1
  Testing PE1
  Testing PE2
  Testing PE3
  Testing PE4
 Counter bit test, tgmode 0
  Testing PE1
  Testing PE2
  Testing PE3
  Testing PE4
 Counter bit test, tgmode 1
  Testing PE1
  Testing PE2
  Testing PE3
  Testing PE4
Testing PE error [pe_error_flag_tb]
 Testing PE1
 Testing PE2
 Testing PE3
 Testing PE4
Testing PE abort [pe_abort_tb]
 Testing PE1
 Testing PE2
 Testing PE3
 Testing PE4
Testing PE VAR Path (pe_var_path_tb)
 Testing PE1
  PE1 NO LVM Present.  Skipping test.
 Testing PE2
  PE2 NO LVM Present.  Skipping test.
 Testing PE3
  PE3 NO LVM Present.  Skipping test.
 Testing PE4
  PE4 NO LVM Present.  Skipping test.
Testing PE Real Time Error Catch Counter [pe_rtec_counter_tb]
  Testing PE1
  Testing PE2
  Testing PE3
  Testing PE4
Testing ECR X Scramble RAM - short march [ecr_xscram_short_march_tb]
    X Scramble depth is 0x8000
Testing ECR Y Scramble RAM - short march [ecr_yscram_short_march_tb]
    Y Scramble depth is 0x8000
Testing ECR Row Capture RAM - short march [ecr_rowram_short_march_tb]
    Row RAM depth is 0x8000
Testing ECR Column Capture RAM - short march [ecr_colram_short_march_tb]
    Column RAM depth is 0x8000
Testing ECR Main Capture RAM - short march [ecr_mainram_short_march_tb]
    Main RAM depth is 0x800000
Testing ECR Scanning of Row Catch RAM [ecr_row_scan_tb]
Testing ECR Scanning of Column Catch RAM [ecr_col_scan_tb]
Testing ECR Scanning of Main Catch RAM [ecr_main_scan_tb]
    Main RAM depth is 0x800000
      Scanning X and Y
      Varying data widths
         x32, 0xc X, 0xb Y
         x16, 0xd X, 0xb Y
         x8, 0xe X, 0xb Y
         x4, 0xf X, 0xb Y
         x2, 0xf X, 0xc Y
         x1, 0xf X, 0xd Y
      Scanning X only
      Scanning Y only
Testing ECR Error Catching [ecr_error_catching_tb]
    Data Crosspoint
       1st pin list, 0x24 pins
       2nd pin list, 0x24 pins
       Varying data widths
    Address Crosspoint
Testing ECR Logic Error Catching [ecr_logic_error_catch_tb]
    First Vectors
    Last Vectors
    Before Error
    After Error
    Only Errors
    Center Error
Testing ECR DDR Capture [ecr_ddr_capture_tb]
    DDR Capture
SystemDiag summary [diag_summary_tb]
    Pass number : 1
    Time for this pass : 00:03:07
    Total time : 00:03:08
Final Bin: pass_bin
Done: 05/18/20 10:10:06
TestDone...bin = pass_bin
</t>
  </si>
  <si>
    <t xml:space="preserve">96011</t>
  </si>
  <si>
    <t xml:space="preserve">Maverick-II PT</t>
  </si>
  <si>
    <t xml:space="preserve">Bitmap Tester</t>
  </si>
  <si>
    <t xml:space="preserve">99382</t>
  </si>
  <si>
    <t xml:space="preserve">NEXTEST </t>
  </si>
  <si>
    <t xml:space="preserve">-in working condition
-see attached photo for details
-diagnostic report:
The test program is loaded
TestStarted(1)...
Started: 05/18/20 09:30:58
                                       Site 1
  Board      Serial    PWB    PWB   PWA    PWA   LVM    DBM    Scan   ECR   
 X     Y     D
  Name       Number   Number  Rev  Number  Rev  Kbits  Mbits  Mbits  Mbits  
bits  bits  bits
---------------------------------------------------------------------------------------------
   PTI       x   500000    3  500001    7                                   
   PE1       x   501683    4  501873   10   2048                            
   PE2       x   501683    4  501873   10   2048                            
   APG       x   501682    3  501872   32   2048     36      8              
   ECR       x   500732    9  501255   16                         36    10  
  10    36  
Nextest software release:  C:\nextest\v2.13.16-LITE\Bin\Ui.exe
Testing APG read,write registers via cpu [apg_rw_regs_tb]
       Address registers and LBDATA
       MAR and INTA
       JAM, DATA, INDEX, VAR and SCAN PTR
       Unique values
Testing APG counter RAM - short march [apg_counter_ram_short_march_tb]
Testing APG reload RAM - short march [apg_reload_ram_short_march_tb]
Testing APG DTOPO RAM - short march [apg_dtopo_ram_short_march_tb]
Testing APG uRAM - short march [apg_uram_ram_short_march_tb]
Testing APG Cycle Length RAM - short march [apg_cycle_ram_short_march_tb]
Testing APG DAC RAM - short march [apg_dac_ram_short_march_tb]
Testing APG ATOPO RAM - short march [apg_atopo_ram_short_march_tb]
Testing APG SCAN RAM - short march [apg_scan_ram_short_march_tb]
    SCAN RAM depth is 0x100000
Testing APG Buffer Memory - short march [apg_buf_ram_short_march_tb]
    Buffer Memory depth is 0x100000 - 0x400 X, 0x400 Y
Testing APG VAR Counter RAM [apg_vector_ram_march_tb]
Testing APG vRAM - short march [apg_vram_ram_short_march_tb]
    LVM Memory depth is 0x200000
Testing APG counter functions [apg_counter_tests_tb]
    Pattern start is at c5
    Counter loading
    Counter address
    Reload loading
    Reload address
    Reload counters from reload registers
    Counter DECR
    Counter INCR
    Counter DECR2
Testing APG MAR increments, stack nesting [apg_mar_and_stack_tests_tb]
   MAR increments
   Stack nesting, 1st pass
   Stack nesting, 2nd pass
   Stack nesting, 50nS
   Stack nesting, 30nS
Testing APG counter branching [apg_counter_branching_tb]
    Pattern start is at 1fe
Testing APG timer branching and accuracy [apg_timer_branching_tb]
    Pattern start is at 34e
Testing APG interrupt branch logic and addressing 
[apg_interrupt_branching_tb]
    Pattern start is at 2f4
Testing APG address generators [apg_address_generators_tb]
    Pattern start is at 20a
    Checking uDATA loads
    Checking COMP function
    Checking logic functions
    Checking add
    Checking subtract
    Checking decrement and increment
    Checking Y to X carries and borrows
    Checking X to Y carries and borrows
Testing APG data generator [apg_data_generator_tb]
    Pattern start is at 328
    Checking uDATA loads
    Count up and down with shift left, 18 bit register
    Shift right, 18 bit register
    Rotate left, 18 bit register
    Rotate right, 18 bit register
    Rotate left, 36 bit register
    Rotate right, 36 bit register
    Shift left, 36 bit register
    Shift right, 36 bit register
Testing APG error pipelines [apg_error_pipe_tb]
Testing APG data paths [apg_data_paths_tb]
    Buffer Memory depth is 0x100000 - 0x400 X, 0x400 Y
    Pattern start is at 49f
    Checking JAM and Data Register Paths
    Checking Buffer Memory Path
    Checking Buffer Memory Writes
    Checking Buffer Memory x18 Path
    Checking Buffer Memory x18 Writes
       30nS writes
Testing APG data inversions [apg_data_inversions_tb]
    Pattern start is at 374
    Checking bit2 functions
    Checking bit1 functions
    Check bit1, bit2 logical combinations
        AND
        OR
        XOR
    Check X and Y parity
        xyodd
        xyeven
        xeven_yodd
        xodd_yeven
        xodd
        xeven
        yodd
        yeven
    Check DTOPO inversions
        X or Y
        X and Y
        X xor Y
    Check Yindex counter
    Check Yindex inversions
          Yindex masks
          yindex plus Y, yindex = 0xffff
          yindex plus Y bar, yindex = 0xffff
          yindex plus Y, Y = 0xffff
          yindex plus Y bar, Y = 0x0000
    Pattern start is at 3f5
          xmain equal to xbase (XEQB)
          xmain less than xbase (XLTB)
          xmain less than or equal to xbase (XLEB)
          xmain equal to xfield or xbase (XEQBORF)
          ymain equal to ybase (YEQB)
          ymain less than ybase (YLTB)
          ymain less than or equal to ybase (YLEB)
          ymain equal to yfield or ybase (YEQBORF)
          xymain equal to xybase (XYEQB)
          xymain less than xybase (XYLTBXF)
          xymain less than xybase (XYLTBYF)
          xymain less than or equal to xybase (XYLEBXF)
          xymain less than or equal to xybase (XYLEBYF)
          inversion from uRAM (INVSNS)
          inversion from uDATA (XORINV)
Testing APG scan pointer [apg_scan_address_tb]
    Pattern start is at 48f
Testing APG vector address (VAR) [apg_vector_address_tb]
    Pattern start is at 494
Testing APG VAR counter functions [apg_var_counter_tests_tb]
    Counter loading
    Counter address
    VAR Counter DECR
Testing APG VAR increments, stack nesting [apg_var_and_stack_tests_tb]
   VAR increments
   Stack nesting, 1st pass
   Stack nesting, 2nd pass
   Stack nesting, 50nS
   Stack nesting, 30nS
Testing APG VAR counter branching [apg_var_counter_branching_tb]
    var/mar counter branching
Testing APG RAM read only paths [apg_ram_current_outputs_tb]
Testing PE TG count RAM [pe_tg_count_march_tb]
 Testing PE1
 Testing PE2
Testing PE TG format RAM [pe_tg_format_march_tb]
 Testing PE1
 Testing PE2
Testing PE VIHH RAM [pe_vihh_march_tb]
 Testing PE1
 Testing PE2
Testing PE Pin Scramble RAM [pe_psram_march_tb]
 Testing PE1
 Testing PE2
Testing PE LVM RAM [pe_lvm_march_tb]
 Testing PE1
 Testing PE2
Testing PE Broadcast mode [pe_broadcast_tb]
 Testing PE1
 Testing PE2
Testing PE16 ADC [adc_tb]
Testing PE16 PMU current force [pmu_if_tb]
 Testing PE16 1 PMU current force DACs
 Testing PE16 1 PMU current force level accuracy
 Testing PE16 1 PMU current force apg level DAC select path
 Testing PE16 2 PMU current force DACs
 Testing PE16 2 PMU current force level accuracy
Testing PE16 PMU voltage force [pmu_vf_tb]
 Testing PE16 1 PMU voltage force DACs
 Testing PE16 1 PMU voltage force level accuracy
 Testing PE16 1 PMU voltage force apg level DAC select path
 Testing PE16 2 PMU voltage force DACs
 Testing PE16 2 PMU voltage force level accuracy
Testing PE16 DPS voltage force [dps_vf_tb]
 Testing PE16 1 DPSn DACs
 Testing PE16 1 DPSn level accuracy
 Testing PE16 1 DPSn apg level DAC select path
 Testing PE16 1 DPSa DACs
 Testing PE16 1 DPSa level accuracy
 Testing PE16 1 DPSa apg level DAC select path
 Testing PE16 2 DPSn DACs
 Testing PE16 2 DPSn level accuracy
 Testing PE16 2 DPSa DACs
 Testing PE16 2 DPSa level accuracy
Testing PE16 PMU/DPS current measure [range_resistor_tb]
Testing PE16 PMU_F FETs, VBK FETs, K1 and K2 Relays [relays_tb]
 Testing PMU_F FETs
 Testing VBK FETs
 Testing K1 Relays
 Testing K2 Relays
Testing PE16 PMU comparators [pmu_comp_tb]
 Testing PE16 1 PMU comparator DACs
 Testing PE16 1 PMU comparator accuracy
 Testing PE16 1 PMU comparator apg level DAC select path
 Testing PE16 2 PMU comparator DACs
 Testing PE16 2 PMU comparator accuracy
Testing PE16 PMU leakage current [pmu_leakage_tb]
Testing PE16 background voltage [vbk_tb]
 Testing background voltage DACs
 Testing background voltage level accuracy
 Testing background voltage apg level DAC and PE select paths
 Testing background voltage apg level bit weight paths
Testing PE16 VIHH pin level [vihh_tb]
 Testing VIHH DACs
 Testing VIHH level accuracy
 Testing VIHH apg level DAC select path
Testing PE16 VIH pin level [vih_tb]
 Testing VIH DACs
 Testing VIH level accuracy
 Testing VIH apg level DAC select path
 Testing VIH offset level accuracy
Testing PE16 VIL pin level [vil_tb]
 Testing VIL DACs
 Testing VIL level accuracy
 Testing VIL apg level DAC select path
 Testing VIL offset level accuracy
Testing PE16 IOH pin level [ioh_tb]
 Testing IOH level accuracy
Testing PE16 IOL pin level [iol_tb]
 Testing IOL level accuracy
Testing PE16 VZ pin level [vz_tb]
 Testing VZ level accuracy
Testing PE16 VOH pin level [voh_tb]
 Testing VOH DACs
 Testing VOH level accuracy
 Testing VOH apg level DAC select path
Testing PE16 VOL pin level [vol_tb]
 Testing VOL DACs
 Testing VOL level accuracy
 Testing VOL apg level DAC select path
Testing PE16 PMU voltage clamps [pmu_vclamp_tb]
Testing PE16 PMU current limit [pmu_ilimit_tb]
Testing PE16 DPS switches [dps_switch_tb]
Testing PE16 DPS current share [dps_share_tb]
Testing PE16 DPS sense resistor bypass diodes [dps_diode_tb]
Testing PE16 DPS compensation capacitors [dps_cap_tb]
Testing PE16 PMU compensation capacitors [pmu_cap_tb]
Testing PE16 DPS current capability [dps_imin_tb]
Testing PE force pins [pe_force_pins_tb]
 Testing PE1
 Testing PE2
Testing PE strobe modes [pe_strobe_mode_tb]
 Testing PE1
 Testing PE2
Testing PE tg formats [pe_tg_format_tb]
 Testing PE1
 Testing PE2
Testing PE tg dclk formats [pe_tg_dclk_format_tb]
 Testing PE1
 Testing PE2
Testing PE tg io formats [pe_tg_io_format_tb]
 Testing PE1
 Testing PE2
Testing PE tg counters [pe_tg_counter_tb]
 Testing PE1
 Testing PE2
Testing PE vihh maps [pe_vihh_map_tb]
 Testing PE1
 Testing PE2
Testing PE pin scramble [pe_ps_ad_tb]
 Testing PE1
 Testing PE2
Testing PE pin scramble [pe_ps_cs_tb]
 Testing PE1 active low
 Testing PE2 active low
 Testing PE1 active high
 Testing PE2 active high
Testing PE pin scramble [pe_ps_lvm_tb]
 Testing PE1
 Testing PE2
Testing PE pin scramble [pe_ps_scan_tb]
 Testing PE1
 Testing PE2
Testing PE mux mode [pe_mux_mode_tb]
 Testing PE1
 Testing PE2
Testing PE first error counter [pe_first_error_tb]
 Counter start test, tgmode 0
  Testing PE1
  Testing PE2
 Counter start test, tgmode 1
  Testing PE1
  Testing PE2
 Counter bit test, tgmode 0
  Testing PE1
  Testing PE2
 Counter bit test, tgmode 1
  Testing PE1
  Testing PE2
Testing PE error [pe_error_flag_tb]
 Testing PE1
 Testing PE2
Testing PE abort [pe_abort_tb]
 Testing PE1
 Testing PE2
Testing PE VAR Path (pe_var_path_tb)
 Testing PE1
 Testing PE2
Testing PE Real Time Error Catch Counter [pe_rtec_counter_tb]
  Testing PE1
  Testing PE2
Testing ECR X Scramble RAM - short march [ecr_xscram_short_march_tb]
    X Scramble depth is 0x8000
Testing ECR Y Scramble RAM - short march [ecr_yscram_short_march_tb]
    Y Scramble depth is 0x8000
Testing ECR Row Capture RAM - short march [ecr_rowram_short_march_tb]
    Row RAM depth is 0x8000
Testing ECR Column Capture RAM - short march [ecr_colram_short_march_tb]
    Column RAM depth is 0x8000
Testing ECR Main Capture RAM - short march [ecr_mainram_short_march_tb]
    Main RAM depth is 0x100000
Testing ECR Scanning of Row Catch RAM [ecr_row_scan_tb]
Testing ECR Scanning of Column Catch RAM [ecr_col_scan_tb]
Testing ECR Scanning of Main Catch RAM [ecr_main_scan_tb]
    Main RAM depth is 0x100000
      Scanning X and Y
      Varying data widths
         x32, 0xa X, 0xa Y
         x16, 0xb X, 0xa Y
         x8, 0xc X, 0xa Y
         x4, 0xd X, 0xa Y
         x2, 0xe X, 0xa Y
         x1, 0xf X, 0xa Y
      Scanning X only
      Scanning Y only
Testing ECR Error Catching [ecr_error_catching_tb]
    Data Crosspoint
       1st pin list, 0x20 pins
       Varying data widths
    Address Crosspoint
Testing ECR Logic Error Catching [ecr_logic_error_catch_tb]
    First Vectors
    Last Vectors
    Before Error
    After Error
    Only Errors
    Center Error
Testing ECR DDR Capture [ecr_ddr_capture_tb]
    DDR Capture
SystemDiag summary [diag_summary_tb]
    Pass number : 1
    Time for this pass : 00:01:31
    Total time : 00:01:33
Final Bin: pass_bin
Done: 05/18/20 09:32:29
TestDone...bin = pass_bin
 </t>
  </si>
  <si>
    <t xml:space="preserve">99381</t>
  </si>
  <si>
    <t xml:space="preserve">NexTest / Teradyne</t>
  </si>
  <si>
    <t xml:space="preserve">MAGNUM I EV</t>
  </si>
  <si>
    <t xml:space="preserve">-In working condition
-See attached photo for details.
Diagnostics report:-
HSB1 SERIAL# xxxx
Loading TCal data from file: Y:\nextest\caldata\tcal_data_xxxxxx.bin
Loading VCAL Data on t_hsb1, t_pe32_1
Loading VCAL Data on t_hsb1, t_pe32_2
Loading VCAL Data on t_hsb1, t_pe32_3
Loading VCAL Data on t_hsb1, t_pe32_4
Loading VCAL Data on t_hsb1, t_dps_pmu_1
Loading VCAL Data on t_hsb1, t_dps_pmu_2
Loading VCAL Data on t_hsb1, t_dps_pmu_3
Loading VCAL Data on t_hsb1, t_dps_pmu_4
active dut = 0
The test program is loaded
TestStarted(1)...
Started: 04/29/20 09:43:30
- Site controller details -
Intel(R) Pentium(R) III CPU family      1266MHz, 509MB total physical 
memory.
Microsoft Windows XP
CSDVersion
- Revision Codes for Boards -
                                           Site 1 ( Chassis 1, Slot 1 )
  Board         Serial   PWB     PWB  PWA     PWA      LVM       DBM      
ECR1      ECR2      X     Y     D
  Name          Number   Number  Rev  Number  Rev    SDR/DDR     MBits    
MBits     MBits    bits  bits  bits
-----------------------------------------------------------------------------------------------------------
  HSBX          xxxxxx   503539  2    507487  9      2/4     (2) 72  (2)  
72  (2)   72  (2)  18*   16*   36*
  PEX_1         xxxxxxx  507466  1    507467  3
  PEX_2         xxxxxx   507466  1    507467  3
  PEX_3         xxxxxxx  507466  1    507467  3
  PEX_4         xxxxxx   507466  1    507467  3
  DP_1          xxxxxxx  504582  6    504583  15
  DP_2          xxxxxx   504582  5    504583  15
  DP_3          xxxxxx   504582  5    504583  15
  DP_4          xxxxxx   504582  4    504583  15
  IPC           xxxxxx   505306  5    505305  24    Firmware Revision : 
3.8.4
* NOTE: The ECR X, Y, D bits represent the maximum allowable configuration.
- Revision Codes for Memory Modules -
  Module               Base    PWA      PWA     LVM     DBM     ECR
  Name                 Number  Number   Rev     MVec    MBits   MBits
  -------------------------------------------------------------------
  DBM-DIMM1            505479  505939   1               36
  DBM-DIMM2            505479  505939   1               36
  ECR1-DIMM1           505479  505933   1                       36
  ECR1-DIMM2           505479  505933   1                       36
  ECR2-DIMM1           505479  505933   1                       36
  ECR2-DIMM2           505479  505933   1                       36
  LVM1-DIMM1           505479  505946   1       2
  LVM2-DIMM1           505479  505946   1       2
- Revision Codes for FPGAs -
  FPGA         SW      HW
  Name         Rev     Rev
  -------------------------
  CPUI Fpga    0x1     0x9  
  TG1 Fpga     0x1     0x18 
  TG2 Fpga     0x1     0x18 
  TG3 Fpga     0x1     0x18 
  TG4 Fpga     0x1     0x18 
  TG5 Fpga     0x1     0x18 
  TG6 Fpga     0x1     0x18 
  TG7 Fpga     0x1     0x18 
  TG8 Fpga     0x1     0x18 
  APG1 Fpga    0x1     0xf1 
  APG2 Fpga    0x1     0xb0 
  DBM1 Fpga    0x1     0xbf 
  PSLE1 Fpga   0x1     0x88 
  PSS1 Fpga    0x1     0x90 
  PSLE2 Fpga   0x1     0x88 
  PSS2 Fpga    0x1     0x90 
  PSLE3 Fpga   0x1     0x88 
  PSS3 Fpga    0x1     0x90 
  PSLE4 Fpga   0x1     0x88 
  PSS4 Fpga    0x1     0x90 
  LVM1 Fpga    0x1     0x4c 
  LVM2 Fpga    0x1     0x4b 
  ECR1 Fpga    0x1     0xc3 
  ECR2 Fpga    0x1     0xc3 
Nextest software release:  C:\nextest\h2.3.17\Bin\Ui.exe
Running on MAGNUM_X20 system# xxxxxx
Testing APG read,write registers via cpu [apg_rw_regs_tb]
  Testing Address registers and LBDATA
  Testing MAR and INTA
  Testing JAM, DMAIN, DBASE, YINDEX
  Testing Unique values
Testing APG counter RAM - short march [apg_counter_ram_short_march_tb]
Testing APG reload RAM - short march [apg_reload_ram_short_march_tb]
Testing APG XDTOPO RAM - short march [apg_xdtopo_ram_short_march_tb]
Testing APG YDTOPO RAM - short march [apg_ydtopo_ram_short_march_tb]
Testing APG uRAM - short march [apg_uram_ram_short_march_tb]
Testing APG Cycle Length RAM - short march [apg_cycle_ram_short_march_tb]
Testing APG DAC RAM - short march [apg_dac_ram_short_march_tb]
Testing APG XTOPO RAM - short march [apg_xtopo_ram_short_march_tb]
Testing APG YTOPO RAM - short march [apg_ytopo_ram_short_march_tb]
Testing APG User RAM - short march [apg_user_ram_short_march_tb]
Testing APG vRAM - short march [apg_vram_ram_short_march_tb]
    Testing VMC1 DIMM1 - Bit Independence Test
    Testing VMC1 DIMM1 - Address Independence Test
    Testing VMC2 DIMM1 - Bit Independence Test
    Testing VMC2 DIMM1 - Address Independence Test
Testing HSB 100Mhz clock frequency [hsb_clk_check_tb]
Testing APG counter functions [apg_counter_tests_tb]
    Pattern start is at 3e7
  Testing Counter loading
  Testing Counter address
  Testing Reload loading
  Testing Reload address
  Testing Reload counters from reload registers
  Testing Counter DECR
  Testing Counter INCR
  Testing Counter DECR2
Testing MAR increments, stack nesting [apg_mar_and_stack_tests_tb]
  Testing MAR increments
  Testing Stack nesting, 1st pass
  Testing Stack nesting, 2nd pass
   Stack nesting, 50nS
   Stack nesting, 20nS
Testing APG counter branching [apg_counter_branching_tb]
    Pattern start is at 523
Testing APG timer branching and accuracy [apg_timer_branching_tb]
    Pattern start is at b1
Testing APG interrupt branch logic and addressing 
[apg_interrupt_branching_tb]
    Pattern start is at 621
Testing APG address generators [apg_address_generators_tb]
    Pattern start is at 532
  Testing uDATA loads
  Testing COMP function
  Testing logic functions
  Testing add
  Testing subtract
  Testing decrement and increment
  Testing Y to X carries and borrows
  Testing X to Y carries and borrows
Testing APG data generator [apg_data_generator_tb]
    Pattern start is at 5d
  Testing uDATA loads
  Testing Count up and down with shift left, 18 bit DMAIN register
  Testing Count up and down with shift left, 18 bit DBASE register
  Testing Shift right, 18 bit DMAIN register
  Testing Shift right, 18 bit DBASE register
  Testing Rotate left, 18 bit DMAIN register
  Testing Rotate right, 18 bit DMAIN register
  Testing Rotate left, 18 bit DBASE register
  Testing Rotate right, 18 bit DBASE register
  Testing Rotate left, 36 bit DMAIN register
  Testing Rotate right, 36 bit DMAIN register
  Testing Rotate left, 36 bit DBASE register
  Testing Rotate right, 36 bit DBASE register
  Testing Shift left, 36 bit DMAIN register
  Testing Shift left, 36 bit DBASE register
  Testing Shift right, 36 bit DMAIN register
  Testing Shift right, 36 bit register
Testing APG error pipelines [apg_error_pipe_tb]
Testing APG data inversions [apg_data_inversions_tb]
    Checking bit1 functions
      Bit1 as Y Address Bits PASSED
      Bit1 as X Address Bits PASSED
    Checking bit2 functions
      Bit2 as Y Address Bits PASSED
      Bit2 as X Address Bits PASSED
    Checking bit1, bit2 logical combinations
      Bit1 AND Bit2 PASSED
      Bit1 OR  Bit2 PASSED
      Bit1 XOR Bit2 PASSED
    Check X and Y parity
        XYodd PASSED
        XYEven PASSED
        Xeven_Yodd PASSED
        Xodd_Yeven PASSED
        Xodd PASSED
        Xeven PASSED
        Yodd PASSED
        Yeven PASSED
    Check DTOPO inversions
      DTopo RAM PASSED
    Check Yindex Counter
      YIndex Counter PASSED
    Check Yindex Mask Inversions
          yindex plus Y, yindex = 0xffff
          yindex plus Y bar, yindex = 0xffff
          yindex plus Y, Y = 0xffff
          yindex plus Y bar, Y = 0x0000
      YIndex Mask Inversions PASSED
    Check XY Equality Functions
          xmain equal to xbase (XEQB)
          xmain less than xbase (XLTB)
          xmain less than or equal to xbase (XLEB)
          xmain equal to xfield or xbase (XEQBORF)
          ymain equal to ybase (YEQB)
          ymain less than ybase (YLTB)
          ymain less than or equal to ybase (YLEB)
          ymain equal to yfield or ybase (YEQBORF)
          xymain equal to xybase (XYEQB)
          xymain less than xybase (XYLTBXF)
          xymain less than xybase (XYLTBYF)
          xymain less than or equal to xybase (XYLEBXF)
          xymain less than or equal to xybase (XYLEBYF)
          inversion from uRAM (INVSNS)
          inversion from uDATA (XORINV)
Testing ECR X Scramble RAM - short march [ecr_xscram_short_march_tb]
Testing ECR Y Scramble RAM - short march [ecr_yscram_short_march_tb]
Testing ECR Row RAM - short march [ecr_rowram_short_march_tb]
Testing ECR Col RAM - short march [ecr_colram_short_march_tb]
Testing ECR dimm bit independence [ecr_dimm_bit_independence_tb]
Testing ECR 5N March [ecr_dimm_hw_long_march_tb]
Testing DBM DRAM - short march [dbm_dimm_short_march_tb]
Testing DBM DIMM 5N March [dbm_dimm_hw_5N_march_tb]
Testing TG Pin Scramble RAM - short march [tg_psram_short_march_tb]
Testing TG timing RAM - short march [tg_timing_ram_short_march_tb]
Testing TG SLVM RAM - short march [tg_slvm_ram_short_march_tb]
Testing TG broadcast mode [tg_broadcast_tb]
Testing TG to PE communications [tg_pe_communication_tb]
Testing PE error generation [pe_error_gen_tb]
Testing PE force drive state [pe_force_drive_state_tb]
Testing PE force drive state [pe_vz_state_tb]
Testing Pin Scramble Format RAM - short march [format_ram_short_march_tb]
Testing Pin Scramble RAM - short march [pe_psram_short_march_tb]
Testing DP ADC [adc_tb]
Testing DP PMU voltage force [pmu_vf_tb]
 Testing DP 1 PMU voltage force DACs
 Testing DP 1 PMU voltage force level accuracy
 Testing DP 2 PMU voltage force DACs
 Testing DP 2 PMU voltage force level accuracy
 Testing DP 3 PMU voltage force DACs
 Testing DP 3 PMU voltage force level accuracy
 Testing DP 4 PMU voltage force DACs
 Testing DP 4 PMU voltage force level accuracy
Testing DP PMU current force [pmu_if_tb]
 Testing DP 1 PMU current force DACs
 Testing DP 1 PMU current force level accuracy
 Testing DP 2 PMU current force DACs
 Testing DP 2 PMU current force level accuracy
 Testing DP 3 PMU current force DACs
 Testing DP 3 PMU current force level accuracy
 Testing DP 4 PMU current force DACs
 Testing DP 4 PMU current force level accuracy
Testing DPS voltage force [dps_vf_tb]
 Testing DP 1 DPSn DACs
 Testing DP 1 DPSn level accuracy
 Testing DP 1 DPSn apg level DAC select path
 Testing DP 1 DPSa DACs
 Testing DP 1 DPSa level accuracy
 Testing DP 2 DPSn DACs
 Testing DP 2 DPSn level accuracy
 Testing DP 2 DPSn apg level DAC select path
 Testing DP 2 DPSa DACs
 Testing DP 2 DPSa level accuracy
 Testing DP 3 DPSn DACs
 Testing DP 3 DPSn level accuracy
 Testing DP 3 DPSn apg level DAC select path
 Testing DP 3 DPSa DACs
 Testing DP 3 DPSa level accuracy
 Testing DP 4 DPSn DACs
 Testing DP 4 DPSn level accuracy
 Testing DP 4 DPSn apg level DAC select path
 Testing DP 4 DPSa DACs
 Testing DP 4 DPSa level accuracy
Testing DP PMU/DPS current measure [range_resistor_tb]
Testing DP PMU comparators [pmu_comp_tb]
 Testing DP 1 PMU comparator DACs
 Testing DP 1 PMU comparator accuracy
 Testing DP 2 PMU comparator DACs
 Testing DP 2 PMU comparator accuracy
 Testing DP 3 PMU comparator DACs
 Testing DP 3 PMU comparator accuracy
 Testing DP 4 PMU comparator DACs
 Testing DP 4 PMU comparator accuracy
Testing PE32 PMU leakage current [pmu_leakage_tb]
Testing PE32 VIH pin level [vih_tb]
 Testing VIH DACs
 Testing VIH level accuracy
 Testing VIH apg level DAC select path
 Testing VIH offset level accuracy
Testing PE32 VIL pin level [vil_tb]
 Testing VIL DACs
 Testing VIL level accuracy
 Testing VIL apg level DAC select path
 Testing VIL offset level accuracy
Testing PE32 VIHH pin level [vihh_tb]
 Testing VIHH DACs
 Testing VIHH level accuracy
 Testing VIHH apg level DAC select path
Testing PE32 VTT pin level [vtt_tb]
 Testing VTT DACs
 Testing VTT level accuracy
Testing PE32 VOH pin level [voh_tb]
 Testing VOH DACs
 Testing VOH level accuracy
Testing PE32 VOL pin level [vol_tb]
 Testing VOL DACs
 Testing VOL level accuracy
Testing PE32 VZ pin level [vz_tb]
 Testing VZ level accuracy
Testing PE32 PE output impedance [pe_rout_tb]
Testing DP PMU voltage clamps [pmu_vclamp_tb]
Testing DP PMU current limit [pmu_ilimit_tb]
Testing DPS switches [dps_switch_tb]
Testing DPS current share [dps_share_tb]
Testing DPS sense resistor bypass diodes [dps_diode_tb]
Testing DPS compensation capacitors [dps_cap_tb]
Testing DP DPS leakage current [dps_leakage_tb]
Testing DP PMU compensation capacitors [pmu_cap_tb]
active dut = 0
Testing DP DPS current capability [dps_imin_tb]
Testing DP HV voltage force [hv_vf_tb]
 Testing HV DACs
 Testing HV level accuracy
Testing DP HV leakage current [hv_leakage_tb]
Testing DP HV current measure [hv_imeas_tb]
Testing PE Verniers [vern_check_tb]
Testing strobe modes [pe_strobe_mode_tb]
Testing PE32 XYAddr Pin Scramble [pe_ps_xy_tb]
  Testing X Address bits
    X Address 50.0MHz Test (20 ns)
  Testing Y Address bits
    Y Address 50.0MHz Test (20 ns)
Testing PE32 Data Pin Scramble [pe_ps_data_tb]
  Testing Data bits
    Data Bits 50.0MHz Test (20 ns)
  Testing Data Strobes
    Data Strobes 20.0MHz Test (50 ns)
Testing PE32 Chip Select Pin Scramble [pe_ps_cs_tb]
  Testing Chip Selects
    Chip Selects 50.0MHz Test (20 ns)
  Testing Chip Select Strobes
    Chip Select Strobes 20.0MHz Test (50 ns)
Testing PE32 Force Pin Scramble [pe_ps_force_tb]
  Testing Drive L/H/Z
    Drive Low  50.0MHz Test (20 ns)
    Drive High 50.0MHz Test (20 ns)
    Tri-State  50.0MHz Test (20 ns)
  Testing Strobe L/H/V/M
    Strobe Low   20.0MHz Test (50 ns)
    Strobe High  20.0MHz Test (50 ns)
    Strobe Valid 20.0MHz Test (50 ns)
    Strobe Mid   20.0MHz Test (50 ns)
Testing PE32 Pin Scramble [pe_ps_lvm_tb]
  Testing Drive 0/1/X
    Drive 0 50.0MHz Test (20 ns)
    Drive 1 50.0MHz Test (20 ns)
    Drive X 50.0MHz Test (20 ns) (HiZ)
  Testing Strobe L/H/V/Z
    Strobe L 20.0MHz Test (50 ns)
    Strobe H 20.0MHz Test (50 ns)
    Strobe V 20.0MHz Test (50 ns)
    Strobe Z 20.0MHz Test (50 ns)
Testing PE32 XYAddr Pin Scramble [pe_ps_xy_ddr_tb]
  Testing X Address bits
    X Address 50.0MHz Test (20 ns)
  Testing Y Address bits
    Y Address 50.0MHz Test (20 ns)
Testing PE32 Data Pin Scramble [pe_ps_data_ddr_tb]
  Testing Data bits
    Data Bits 50.0MHz Test (20 ns)
  Testing Data Strobes
    Data Strobes 20.0MHz Test (50 ns)
Testing PE32 Chip Select Pin Scramble [pe_ps_cs_ddr_tb]
  Testing Chip Selects
    Chip Selects 50.0MHz Test (20 ns)
  Testing Chip Select Strobes
    Chip Select Strobes 20.0MHz Test (50 ns)
Testing PE32 Force Pin Scramble [pe_ps_force_ddr_tb]
  Testing Drive L/H/Z
    Drive Low  50.0MHz Test (20 ns)
    Drive High 50.0MHz Test (20 ns)
    Tri-State  50.0MHz Test (20 ns)
  Testing Strobe L/H/V/M
    Strobe Low   20.0MHz Test (50 ns)
    Strobe High  20.0MHz Test (50 ns)
    Strobe Valid 20.0MHz Test (50 ns)
    Strobe Mid   20.0MHz Test (50 ns)
Testing PE32 Pin Scramble [pe_ps_lvm_ddr_tb]
  Testing Drive 0/1/X
    Drive 0 50.0MHz Test (20 ns)
    Drive 1 50.0MHz Test (20 ns)
    Drive X 50.0MHz Test (20 ns) (HiZ)
  Testing Strobe L/H/V/Z
    Strobe L 20.0MHz Test (50 ns)
    Strobe H 20.0MHz Test (50 ns)
    Strobe V 20.0MHz Test (50 ns)
    Strobe Z 20.0MHz Test (50 ns)
Testing PE32 Timing Generators [pe_tg_format_tb]
  Testing NRZ Format 5.0MHz Test (200 ns) with Edge Strobes
  Testing NRZ Format 5.0MHz Test (200 ns) with Window Strobes
  Testing RTO Format 5.0MHz Test (200 ns) with Edge Strobes
  Testing RTO Format 5.0MHz Test (200 ns) with Window Strobes
  Testing RTZ Format 5.0MHz Test (200 ns) with Edge Strobes
  Testing RTZ Format 5.0MHz Test (200 ns) with Window Strobes
Testing PE32 Timing Generators [pe_tg_dclk_format_tb]
  Testing DCLKPOS Format 5.0MHz Test (200 ns) with Edge Strobes
  Testing DCLKPOS Format 5.0MHz Test (200 ns) with Window Strobes
  Testing DCLKNEG Format 5.0MHz Test (200 ns) with Edge Strobes
  Testing DCLKNEG Format 5.0MHz Test (200 ns) with Window Strobes
Testing PE32 Timing Generators [pe_tg_mux_mode_tb]
  Testing MUX Mode 5.0MHz Test (200 ns) with Edge Strobes
  Testing MUX Mode 5.0MHz Test (200 ns) with Window Strobes
Testing VMC FIFO Resident Loop counter branching 
[vmc_fifo_loop_branching_tb]
    Builtin Pure Logic Pattern start is at 0
    Running vmc_fifo_loop1_np_pat
    PASS: vmc_fifo_loop1_np_pat
    Running vmc_fifo_loop2_np_pat
    PASS: vmc_fifo_loop2_np_pat
    Running vmc_fifo_loop3_np_pat
    PASS: vmc_fifo_loop3_np_pat
    Running vmc_fifo_loop4_np_pat
    PASS: vmc_fifo_loop4_np_pat
    Running vmc_fifo_loop5_np_pat
    PASS: vmc_fifo_loop5_np_pat
    Running vmc_fifo_loop6_np_pat
    PASS: vmc_fifo_loop6_np_pat
Testing VMC RAM Resident Loop counter branching [vmc_ram_loop_branching_tb]
    Builtin Pure Logic Pattern start is at 0
    Running vmc_ram_loop_np_pat
    PASS: vmc_ram_loop_np_pat
Testing LVM Subroutine Branching [lvm_subroutines_tb]
Testing LVM Subroutine Branching DDR [lvm_subroutines_ddr_tb]
Testing Scan Functionality [scan_tb]
  Standard Mode SCAN Tests
  Split Mode SCAN Tests
  TG Hold SCAN Tests
Testing Scan DDR Functionality [scan_ddr_tb]
  Standard Mode SCAN Tests
  Split Mode SCAN Tests
  TG Hold SCAN Tests
Testing HSB sec. connections [apg_sec_tb].
active dut = 0
active dut = 1
Testing ECR [ecr1_tb]
Testing first 36 ECR data inputs with 18X, 0Y
 Testing ECR0 first 36 error lines
 Testing ECR1 first 36 error lines
Testing ECR [ecr2_tb]
Testing last 36 ECR data inputs with 18X, 0Y
 Testing ECR0 last 36 error lines
 Testing ECR1 last 36 error lines
Testing ECR [ecr3_tb]
Testing ECR address inputs with 18X, 3Y and full speed configuration
 Testing ECR0 addressing
  ECR0 first row
  ECR0 second row
  ECR0 third row
  ECR0 last row
  ECR0 diagonal
 Testing ECR1 addressing
  ECR1 first row
  ECR1 second row
  ECR1 third row
  ECR1 last row
  ECR1 diagonal
Testing ECR [ecr4_tb]
Testing ECR address inputs with 5X, 16Y and full speed configuration
 Testing ECR0 addressing
  ECR0 first column
  ECR0 second column
  ECR0 third column
  ECR0 last column
  ECR0 diagonal
 Testing ECR1 addressing
  ECR1 first column
  ECR1 second column
  ECR1 third column
  ECR1 last column
  ECR1 diagonal
Testing ECR [ecr5_tb]
Testing ECR clear with full speed configuration, 18X, 3Y
 Testing ECR0 clear
 Testing ECR1 clear
Testing ECR [dbm1_tb]
Testing DBM read widths with minimum speed configuration, 18X, 6Y
Testing ECR [dbm2_tb]
Testing DBM read speeds with 36 bit configuration, 18X, 3Y
Testing ECR [dbm3_tb]
Testing DBM write widths with minimum speed configuration, 18X, 6Y
Testing ECR [dbm4_tb]
Testing DBM write speeds with 36 bit configuration, 18X, 3Y
Testing ECR [dbm5_tb]
Testing DBM write to ECR capture with full speed configuration, 18X, 3Y
 Testing DBM capture to ECR0
  DBM to ECR0 first row
  DBM to ECR0 second row
  DBM to ECR0 third row
  DBM to ECR0 last row
  DBM to ECR0 diagonal
Testing ECR [ dbm6_tb ]
Testing DBM read widths with sequential configuration, 18X, 6Y
Testing CPUI in multiple sites per controller [multisite_cpui_tb]
multisite_cpui_tb PASSED.
Testing APG in multiple sites per controller [multisite_apg_tb]
multisite_apg_tb PASSED.
PE_Temperature_Display [pe_temperature_display_tb]
09:50:27   Cyc= 0.00ns   Vih=4.00v/4.00v/4.00v/4.00v   
Vil=0.00v/0.00v/0.00v/0.00v
 HSB2              temp[low/hi]            temp[low/hi]
  HSB LVM  local = 29 [  0/ 70]   remote = 32 [  0/ 70]
  HSB ECR  local = 31 [  0/ 70]   remote = 35 [  0/ 70]
 Temperatures on PEmodule1
  U14= 35.0   U22= 38.5   U18= 42.1    U4= 43.0
  U17= 33.8    U3= 41.1   U20= 41.5    U6= 41.7
  U16= 33.6    U2= 37.4   U21= 41.7    U7= 45.4
  U19= 36.4    U5= 41.3   U15= 42.8    U1= 48.7
  PE 1 thermal sensor = 43 (low limit = 81, high limit = 86)
 Temperatures on PEmodule2
  U14= 36.4   U22= 40.9   U18= 44.8    U4= 46.4
  U17= 37.0    U3= 39.5   U20= 45.6    U6= 49.1
  U16= 38.5    U2= 39.7   U21= 44.2    U7= 48.9
  U19= 37.2    U5= 39.3   U15= 43.0    U1= 47.5
  PE 2 thermal sensor = 46 (low limit = 81, high limit = 86)
 Temperatures on PEmodule3
  U14=-231.0   U22= 44.4   U18=-222.4    U4= 47.3
  U17=-220.0    U3= 41.7   U20=-219.6    U6= 49.9
  U16=-220.6    U2= 44.8   U21=-219.2    U7= 48.9
  U19=-221.2    U5= 41.1   U15=-219.0    U1= 50.7
  PE 3 thermal sensor = 45 (low limit = 81, high limit = 86)
 Temperatures on PEmodule4
  U14= 36.8   U22= 38.7   U18= 39.9    U4= 43.0
  U17= 39.1    U3= 40.3   U20= 41.1    U6= 43.8
  U16= 38.7    U2= 42.6   U21= 41.3    U7= 45.0
  U19= 36.6    U5= 39.9   U15= 43.0    U1= 44.8
  PE 4 thermal sensor = 41 (low limit = 81, high limit = 86)
SystemDiag summary [diag_summary_tb]
    Pass number : 1
    Time for this pass : 00:06:59
    Total time : 00:07:08
Final Bin: pass_bin
Done: 04/29/20 09:50:29
TestDone...bin = pass_bin,pass_bin</t>
  </si>
  <si>
    <t xml:space="preserve">102887</t>
  </si>
  <si>
    <t xml:space="preserve">NGK</t>
  </si>
  <si>
    <t xml:space="preserve">Megcon II</t>
  </si>
  <si>
    <t xml:space="preserve">CO2 Bubbler,RCII-2000ACD-S</t>
  </si>
  <si>
    <t xml:space="preserve">CO2 Bubbler, NGK Maggcon II, RCII-2000ACD-S for Disco DFD6361</t>
  </si>
  <si>
    <t xml:space="preserve">93103</t>
  </si>
  <si>
    <t xml:space="preserve">NGR</t>
  </si>
  <si>
    <t xml:space="preserve">NGR2150</t>
  </si>
  <si>
    <t xml:space="preserve">E-beam wafer inspection</t>
  </si>
  <si>
    <t xml:space="preserve">102888</t>
  </si>
  <si>
    <t xml:space="preserve">Nicolet</t>
  </si>
  <si>
    <t xml:space="preserve">ECO-1000S</t>
  </si>
  <si>
    <t xml:space="preserve">FT-IR</t>
  </si>
  <si>
    <t xml:space="preserve">102316</t>
  </si>
  <si>
    <t xml:space="preserve">ECO1000</t>
  </si>
  <si>
    <t xml:space="preserve">Film Thickness Gauge</t>
  </si>
  <si>
    <t xml:space="preserve">91534</t>
  </si>
  <si>
    <t xml:space="preserve">NICOLET</t>
  </si>
  <si>
    <t xml:space="preserve">Magna 410 ft-ir</t>
  </si>
  <si>
    <t xml:space="preserve">Spectrometer</t>
  </si>
  <si>
    <t xml:space="preserve">91860</t>
  </si>
  <si>
    <t xml:space="preserve">Magna 550</t>
  </si>
  <si>
    <t xml:space="preserve">FT-IR Spectrophotometer</t>
  </si>
  <si>
    <t xml:space="preserve">    * Capable of up to 0.125 cm-1 Resolution
    * Auto-Tune System Alignment and Continuous Dynamic Alignment
    * Digital Signal Processing (DSP) Provides Exact Scan Reproducibility
      and Collection of Minute Signals
    * Helium Neon (Hehe) 632.8 nm Laser</t>
  </si>
  <si>
    <t xml:space="preserve">91535</t>
  </si>
  <si>
    <t xml:space="preserve">Magna 560 ft-ir</t>
  </si>
  <si>
    <t xml:space="preserve">91536</t>
  </si>
  <si>
    <t xml:space="preserve">Nidec</t>
  </si>
  <si>
    <t xml:space="preserve">im15</t>
  </si>
  <si>
    <t xml:space="preserve">Wafer inspection</t>
  </si>
  <si>
    <t xml:space="preserve">101813</t>
  </si>
  <si>
    <t xml:space="preserve">Nikon</t>
  </si>
  <si>
    <t xml:space="preserve">4425i</t>
  </si>
  <si>
    <t xml:space="preserve">Configuration
Wafer size: 6” (GaN)
Wavelength: i-line (365 nm)
Minimum resolution: ≤ 0.7 μm
Projection ratio: 2.5: 1 or 5: 1
Alignment accuracy: ≤ 100 nm
Maximum exposure area: ≥ 40 × 40 mm
Focus depth: ≥ 0.7 μm
Focus maintaining accuracy: ≤ ± 350 nm
Autofocus repeatability: ≤ ± 0.2 μm
Autofocus stability: ≤ ± 0.3 μm
Accuracy of maintaining the projection size: ≤ ± 30 nm
Illumination uniformity over the maximum exposure area: ≤ ± 1.5%
Table positioning accuracy (Stepping Precision): ≥ 70 nm (3sigma)
Lens distortion: ≥ ± 50 nm
Reticle size: 6”
Productivity: ≥ 40 wafers / hour
Installation and 6 months warranty included</t>
  </si>
  <si>
    <t xml:space="preserve">98484</t>
  </si>
  <si>
    <t xml:space="preserve">ECLIPSE L150</t>
  </si>
  <si>
    <t xml:space="preserve">100/150mm</t>
  </si>
  <si>
    <t xml:space="preserve">100708</t>
  </si>
  <si>
    <t xml:space="preserve">Eclipse LV 100</t>
  </si>
  <si>
    <t xml:space="preserve">99396</t>
  </si>
  <si>
    <t xml:space="preserve">EpiPhot 200</t>
  </si>
  <si>
    <t xml:space="preserve">In working condition. Manual, coarse and fine X-Y movements. There are 5 
objectives.
Currently de-installed and warehoused. Inspection is available by 
appointment.
The Nikon Epiphot 200 Inverted Metallurgical Microscope is a compact and 
highly upgradeable package. This unit is ideal for observation and 
projecting results onto a TV monitor.
The Epiphot 200 features the CF infinity corrected optical system, which 
combines Nikon's CF optics with Infinity Corrected design for greater 
system flexibility. It also features a lowered stage design and ergonomic 
controls. The built-in interlocking aperture diaphragm which automatically 
adjusts during darkfield / brightfield changeover, and the universal joint 
stage handle which allows quick movement of the stage by hand from a fixed 
position.</t>
  </si>
  <si>
    <t xml:space="preserve">102649</t>
  </si>
  <si>
    <t xml:space="preserve">FX-701M</t>
  </si>
  <si>
    <t xml:space="preserve">Flat Panel Display Exposure System</t>
  </si>
  <si>
    <t xml:space="preserve">Gen 3.5</t>
  </si>
  <si>
    <t xml:space="preserve">The Nikon Flat Panel Display Exposure System FX-701M can image 13- and 
14-inch displays by splitting
each display into four exposures, achieving throughput improvement of about 
30% (compared to Nikon's
predecessor models, for 13.3-inch panels). For mass production of monitor 
displays, the FX-701M can
image 17-inch displays by splitting each display into six exposures. In 
all,
the power of the FX-701M boosts manufacturing efficiency for TFT LCDs.
Nikon FX-701M Specifications
Resolution (1μm-thick positive-resist)      
2.4μm (isolated pattern), 3μm (L/S)
Reduction ratio
1.25x (magnification)
Exposure area
132mm square ~
105.87 (H) x 153.75 (V)mm
(≤ø186.68mm)
Alignment accuracy
≤0.5μm (|x|+3s, EGA)
Plate size
600 (X) x 720 (Y)mm2
Options
Pellicle particle detector
Extended reticle library
Reticle bar code reader
Plate edge exposure system
Please check the attachments for more information.</t>
  </si>
  <si>
    <t xml:space="preserve">101667</t>
  </si>
  <si>
    <t xml:space="preserve">2" Side Slide Arm</t>
  </si>
  <si>
    <t xml:space="preserve">101668</t>
  </si>
  <si>
    <t xml:space="preserve">I11</t>
  </si>
  <si>
    <t xml:space="preserve">2"Fetch Arm-(155.1x18)</t>
  </si>
  <si>
    <t xml:space="preserve">101669</t>
  </si>
  <si>
    <t xml:space="preserve">I9C,I11</t>
  </si>
  <si>
    <t xml:space="preserve">2"Fetch Arm-(155.2x20)</t>
  </si>
  <si>
    <t xml:space="preserve">101757</t>
  </si>
  <si>
    <t xml:space="preserve">L200</t>
  </si>
  <si>
    <t xml:space="preserve">High Power Microscope</t>
  </si>
  <si>
    <t xml:space="preserve">101758</t>
  </si>
  <si>
    <t xml:space="preserve">91372</t>
  </si>
  <si>
    <t xml:space="preserve">NIKON</t>
  </si>
  <si>
    <t xml:space="preserve">Nikon S202+</t>
  </si>
  <si>
    <t xml:space="preserve">Scanner </t>
  </si>
  <si>
    <t xml:space="preserve">101847</t>
  </si>
  <si>
    <t xml:space="preserve">NSR 2205 i14e2</t>
  </si>
  <si>
    <t xml:space="preserve">i line stepper</t>
  </si>
  <si>
    <r>
      <rPr>
        <sz val="8"/>
        <rFont val="Arial"/>
        <family val="0"/>
        <charset val="1"/>
      </rPr>
      <t xml:space="preserve">-Currently installed in demonstration cleanroom in working condition.
Key Features of the equipment
• High Throughput
A New illuminator design, along with a reduced stepping and alignment time, 
allows a high throughput of 103 wafers per hour (for 200mm wafers).
• High Resolution and Modified Illumination
The NSR-2205i14E2 with a projection lens with a top N.A. of 0.63 which, 
taken with modified illumination technology, enables resolution of 0.35μm 
or better.
With Resolution Enhanced Technology (RET) and variable-N.A. reticle design, 
the systemcan handle a wide range of process parameters and diverse  
process requirements, including rough and middle layers.
• Overall Alignment Accuracy
The i14E2’s reticle interferometer system improves alignment accuracy, 
including chip rotation correction and staging accuracy.
Thanks to enhanced baseline measurement and internal chip accuracy (chip 
magnification, chip rotation),overlay has been significantly improved.
• Refined Operation Interface
The operation has been enhanced through software improvements. An extensive 
lineup of measurement evaluation and maintenance software provides the 
right answer for all your requirements.
Specifications
Resolution: 0.35μm or better
N.A.: 0.63 Exposure light source: i line
Reduction ratio:1:5
Exposure field size: 22mm square to 17.9 (H) x 25.2 (V)mm
Alignment accuracy (EGA, |x|+3σ):40nm or better
Alignment system:LSA(standard), FIA(standard), LIA(optional)
SYSTEM
MC NAME&amp;SEREAL
NAME
2205I14E2
SERIAL
BASIC VERSION
MCSV BASIC
VER.3.41A
OPTION VERSION
OCS OPTION
VER.3.41A
TOOL
VER.4.02-SR8110
MAINTENANCE SYSTEM
 MAIN SYSTEM
 AMS SYSTEM
BASE KIT NAME
 SYSTEM KIT
BASE8 105-0011C
WL KIT
WLDR8 022-V340B
RL KIT
RLDR8 011-V470A
UNIT SOFT VER
WAFER STAGE
MCSV$UNITSOFT:ST-82.H50
ALIGNMENT 
AL-82.H91
OPERATION PANEL
PA-82.H61
LENS CONTROLLER
LC-85.H80
WAFER LOADER
WR-22.H34
RETICLE LOADER 
RL-11.H47
MAIN COMPUTER
SYSTEM
DMCC
DISK Drive
Illumination
2.5</t>
    </r>
    <r>
      <rPr>
        <sz val="8"/>
        <rFont val="Noto Sans CJK SC"/>
        <family val="2"/>
        <charset val="1"/>
      </rPr>
      <t xml:space="preserve">㎾ </t>
    </r>
    <r>
      <rPr>
        <sz val="8"/>
        <rFont val="Arial"/>
        <family val="0"/>
        <charset val="1"/>
      </rPr>
      <t xml:space="preserve">U.V LAMP
WAFER STAGE
Air Stage , 8inch chuck
RETICLE ALIGNMENT
VRA
Reticle Microscope
Fix
WAFER ALIGNMENT 
LSA ,  FIA
AUTO FOCUS
Multypoint
FOCUS CALIBRATION  
FC2
WAFER LOADER
 NC Pre2
Type3
8inch Notch
Pre1 CCD
2 Cassette
Control Rack</t>
    </r>
    <r>
      <rPr>
        <sz val="8"/>
        <rFont val="Noto Sans CJK SC"/>
        <family val="2"/>
        <charset val="1"/>
      </rPr>
      <t xml:space="preserve">방향
</t>
    </r>
    <r>
      <rPr>
        <sz val="8"/>
        <rFont val="Arial"/>
        <family val="0"/>
        <charset val="1"/>
      </rPr>
      <t xml:space="preserve">Right
RETICLE LOADER 
6inch Library (10 Layer + 10Layer+ 10Layer)
Robot type
PPD
BARCODE SYSTEM
RT Washer
MAC0
MAC1-1
MAC1-2
INC Washer
Temp check
CHAMBER
ASAHI (N4A-C) , 2000.12</t>
    </r>
  </si>
  <si>
    <t xml:space="preserve">98414</t>
  </si>
  <si>
    <t xml:space="preserve">NSR-1505G4C</t>
  </si>
  <si>
    <t xml:space="preserve">5x Reduction Stepper</t>
  </si>
  <si>
    <t xml:space="preserve">98415</t>
  </si>
  <si>
    <t xml:space="preserve">98416</t>
  </si>
  <si>
    <t xml:space="preserve">98417</t>
  </si>
  <si>
    <t xml:space="preserve">102489</t>
  </si>
  <si>
    <t xml:space="preserve">NSR-1505G4D</t>
  </si>
  <si>
    <t xml:space="preserve">G-line Lithography Step and Repeat System</t>
  </si>
  <si>
    <t xml:space="preserve">Tool working until 2017. It received regular maintenance and has a modern 
Windows based computer using an emulator for the Nikon software.
Please check pictures below for more information</t>
  </si>
  <si>
    <t xml:space="preserve">91376</t>
  </si>
  <si>
    <t xml:space="preserve">NSR-204B</t>
  </si>
  <si>
    <t xml:space="preserve">Scanner DUV (GIGAPHOTON G20K2 KRF laser)</t>
  </si>
  <si>
    <t xml:space="preserve">91377</t>
  </si>
  <si>
    <t xml:space="preserve">102317</t>
  </si>
  <si>
    <t xml:space="preserve">NSR-2205EX12B</t>
  </si>
  <si>
    <t xml:space="preserve">102318</t>
  </si>
  <si>
    <t xml:space="preserve">NSR-S204B</t>
  </si>
  <si>
    <t xml:space="preserve">91383</t>
  </si>
  <si>
    <t xml:space="preserve">NSR-S306B</t>
  </si>
  <si>
    <t xml:space="preserve">Scanner DUV 193 nm</t>
  </si>
  <si>
    <t xml:space="preserve">102322</t>
  </si>
  <si>
    <t xml:space="preserve">NSR-SF130</t>
  </si>
  <si>
    <t xml:space="preserve">I-Line scanner</t>
  </si>
  <si>
    <t xml:space="preserve">86207</t>
  </si>
  <si>
    <t xml:space="preserve">NSRS306C</t>
  </si>
  <si>
    <t xml:space="preserve">ArF Scanner</t>
  </si>
  <si>
    <t xml:space="preserve">De-installed, warehoused.
This tool can be inspected by appointment.
Please refer to the following configuration for details, as well as the 
attached photos.
Standard Nikon S306C Performance Specifications: Resolution ≦ 100 nm
NA 0.78
Exposure light source ArF excimer laser (193 nm wavelength)
Reduction ratio 1:4
Exposure field 25 × 33 mm
Alignment accuracy (EGA, |M| + 3σ) ≦ 20 nm
MC NAME&amp;SEREAL 	NAME 	NSR-S306C 	 
BASIC VERSION 	MCSV BASIC 	  	VER. S722G
OPTION VERSION 	OCS OPTION 	  	VER. S722
  	TOOL VERSION 	  	VER. S722C-SP100
MAINTENANCE SYSTEM 	 MAIN SYSTEM 	MCSV / MCSW 	MCSV
MAIN COMPUTER 	SYSTEM 	DD BOX &amp; LINUX &amp; Windows NT 	Open VMS / Windows NT / 
Linux
Hard disk 	YES / NO 	YES
DISK Drive 	Floppy / DAT Dape / CD 	Floppy / CD
UNIT System 	WAFER STAGE 	Chuck Type : 8 inch ( Pin , Ring ) 	8 inch Pin 
Chuck
AIR Stage / BallScrew Stage 	Air Stage
RETICLE ALIGNMENT 	ISS , SRA , VRA 	SRA , VRA
WAFER ALIGNMENT 	LSA , FIA 	LSA , FIA
BMU 	NOMAL TYPE / Customer TYPE 	Nomal Type
KRF LASER 	GIGA LASER / CYMER 	Cymer Laser 7401
AUTO FOCUS 	Single / Multi 	Multi
WAFER LOADER 	Wafer Size : 8 Inch 	8Inch
Loader Type : TYPE 3 / TYPE 4 	Type 4
OF Type : Notch / Flat 	Notch
Flatzone Position : 6 o'clock / others 	6 o'clock
In-Line : Left / Right 	Left
Cassette : Left , Right , Extra 	Right
Control Rack Position 	Left / Right 	Left
RETICLE LOADER 	Reticle Size : 6" 	6"
Add Library (YES / NO) , Total Slot 	YES / 20 Slot
PPD 	YES / NO 	YES
BARCODE SYSTEM 	Case Barcode ( YES / NO ) 	NO
Reticle Barcode ( YES / NO ) 	YES
CHAMBER TYPE 	Asahi / Sendai 	Sendai
Model NO. 	S37
SERIAL NO. 	 
DATE 	2002.5
MISSING PARTS 	  	NO KNOWN MISSING PARTS
 </t>
  </si>
  <si>
    <t xml:space="preserve">103038</t>
  </si>
  <si>
    <t xml:space="preserve">Optiphot</t>
  </si>
  <si>
    <t xml:space="preserve">Inspection Microscope w/ Nomarski Optics</t>
  </si>
  <si>
    <t xml:space="preserve">Nomarski optics allow images to be seen in striking color (optical 
contrast) with a 3-Dimensional shadow like appearance and at excellent 
resolution. Enhances view of multilayer substrates. This microscope 
features a large 6" by 8" x-y stage movement on a manual 12" by 12" stage. 
All movements are manual. This stage was adapted to fit on a 150mm 
inspection microscope. Trinocular head with 10x eyepieces. Brightfield and 
Darkfield optics along with the Nomarski optics. Four BD PLAN Objectives 
10x, 20x, 40x, and 100x. Older microscope but in good working condition. 
115V, 50/60 Hz</t>
  </si>
  <si>
    <t xml:space="preserve">99423</t>
  </si>
  <si>
    <t xml:space="preserve">    * 4 Position Turret
    * NIKON MPlan 2.5X, BDPlan 10X, 20X &amp; 40X Objective Lenses
    * NIKON Binocular Viewing Head with 10X Widefield Eyepieces
    * NIKON Vertical Illuminator with 12V/50W Halogen Lamp Housing
          o Brightfield &amp; Darkfield Channels
          o Dual Iris Apertures
    * NIKON Model UN Illumination Transformer
    * SEMPREX Microscope Stand
          o Specimen Stage 6” X 6.75”
                + 2ea Mitutoyo 164-136 Digital Micrometers for XY
                  Measurement
                + 0-2” in X Axis &amp; 0-1.5” in Y Axis; Resolution to 0.0001”
                + Mitutoyo 534-223-1 Digital Micrometer for Height
                  Measurement
                + 0-1” in Z Axis; Resolution to 0.0001”</t>
  </si>
  <si>
    <t xml:space="preserve">98485</t>
  </si>
  <si>
    <t xml:space="preserve">Optiphot 150</t>
  </si>
  <si>
    <t xml:space="preserve">Microscope Inspection Station</t>
  </si>
  <si>
    <t xml:space="preserve">99424</t>
  </si>
  <si>
    <t xml:space="preserve">Wafer Inspection Microscope</t>
  </si>
  <si>
    <t xml:space="preserve">Nikon Optiphot 150 Wafer Inspection Microscope
Motorized Turret Rotation
10X, 20X, 50X &amp; 100X CF Plan BF/DF Objective Lenses
DIC Filter Slots on Turret (Polarizer &amp; Analyzer Not Included)
Binocular Head with 10X WF Eyepieces
Wafer Stage for Use with Nikon NWL Wafer Loader
12V/50W Lamphouse with Internal Illumination Transformer
Microscope Type     Upright
Microscope Configuration     Brightfield, Darkfield &amp; DIC
Illumination Type     Coaxial
Binocular Angle     45°
EyepiecesMagnification     10 X
Wafer Size     152.40  mm  (6.00 in)
Motorized Nosepiece     YES
Infinity Corrected Objectives     YES
Illumination Power     Volts: 12     Watts: 50
Stage Type     Coaxial X-Y, Rotary</t>
  </si>
  <si>
    <t xml:space="preserve">91863</t>
  </si>
  <si>
    <t xml:space="preserve">Wafer Inspection Microscope, 10X, 20X, 50X &amp; 150X Objs., 150mm XY Stage</t>
  </si>
  <si>
    <t xml:space="preserve">Microscope Type  	Upright
Microscope Configuration  	Brightfield &amp; Darkfield
Illumination Type  	Reflected Light
Binocular Angle  	Other
Motorized Nosepiece  	YES
Wafer Stage/Loader  	 
  Manufacturer  	Nikon
  Wafer Size  	150.00  mm  (5.91 in)
Stage Type  	Coaxial X-Y, Rotary
Wafer Inspection Microscope, 10X, 20X, 50X &amp; 150X Objs., 150mm XY Stage</t>
  </si>
  <si>
    <t xml:space="preserve">91864</t>
  </si>
  <si>
    <t xml:space="preserve">Optiphot 200 (For spares use)</t>
  </si>
  <si>
    <t xml:space="preserve">Wafer Inspection Microscope (Parts Tool Only)</t>
  </si>
  <si>
    <t xml:space="preserve">Parts included:-
NIKON Optiphot 200 Wafer Inspection Stand, Including
    * Focus Mechanism
    * Interference Contrast Polarizer/Analyzer</t>
  </si>
  <si>
    <t xml:space="preserve">102751</t>
  </si>
  <si>
    <t xml:space="preserve">OPTIPHOT 200C</t>
  </si>
  <si>
    <t xml:space="preserve"> The microscope include the wafer loader NWL860.Handler Type is 
Cassette.Vacuum is -28.7 in-HgPower is 108V</t>
  </si>
  <si>
    <t xml:space="preserve">103039</t>
  </si>
  <si>
    <t xml:space="preserve">Optiphot 88</t>
  </si>
  <si>
    <t xml:space="preserve">200mm Inspection Microscope w/ Nomarski Optics</t>
  </si>
  <si>
    <t xml:space="preserve">Nomarski optics allow images to be seen in striking color (optical 
contrast) with a 3-Dimensional shadow like appearance and at excellent 
resolution. Enhances view of multilayer substrates. This microscope 
features a large 8" by 8" x-y stage movement on a manual 12" by 12" stage. 
All movements are manual. Trinocular ergonomic tilting head with 10x 
eyepieces. BD PLAN Objectives 5x, 10x, 20x, 40x and 100x. All objectives 
feature brightfield and darkfield use along with Nomarski. Reflected light 
illumination. 110V, 50/60 Hz</t>
  </si>
  <si>
    <t xml:space="preserve">33708</t>
  </si>
  <si>
    <t xml:space="preserve">NIKON Optiphot-88 Wafer Inspection Microscope  
    * 5 Position Turret with Motorized Rotation
    * BDPlan 5X, 10X, 20X, 40X &amp; 100X Bright/Darkfield Objective Lenses
    * Trinocular Viewing Head with 10X Widefield Eyepieces
    * C-Mount with Television Lens Included
    * Vertical Illuminator with 12V/50W Halogen Lamp Housing
    * Brightfield &amp; Darkfield Channels
    * Dual Iris Apertures
Specimen Stage with 200mm X 200mm XY Travel</t>
  </si>
  <si>
    <t xml:space="preserve">99425</t>
  </si>
  <si>
    <t xml:space="preserve">Optistation 3</t>
  </si>
  <si>
    <t xml:space="preserve">Microscope Wafer Inspection Satation with cassette to cassette handling</t>
  </si>
  <si>
    <t xml:space="preserve">    * Cassette to Cassette Handling of 150mm Wafers
    * Non-Contact Wafer Pre-Alignment
    * Trinocular Head with Motorized Nosepiece and Motorized Auto Focus
    * NIKON BD Plan Objectives: 5X, 20X &amp; 40X
    * NIKON BD Plan APO Objective: 100X
    * NIKON 10X Widefield Eyepieces
    * EPI Illuminator (Brightfield/Darkfield) with 50 Watt Halogen Lamp
    * 6” (dia.) Wafer Stage with 6" x 6" XY Programmable Motion &amp; Joystick
      Manual Override
    * Observing Points – 150 Channels with Max. 50 Point Memory per Channel
    * 2ea X Axis Wafer Transfer Shuttles
    * 2ea Y Axis Wafer Transfer Shuttles
    * 2ea Send/Receive Cassette Elevators</t>
  </si>
  <si>
    <t xml:space="preserve">99426</t>
  </si>
  <si>
    <t xml:space="preserve">Microscope Wafer Inspection Station with cassette to cassette handling</t>
  </si>
  <si>
    <t xml:space="preserve">    * Cassette to Cassette Handling of 150mm Wafers
    * Non-Contact Wafer Pre-Alignment
    * Trinocular Head with Motorized Nosepiece and Motorized Auto Focus
    * NIKON BD Plan APO Objectives: 10X &amp; 20X
    * NIKON BD Plan APO Objective: 100X
    * NIKON 10X Widefield Eyepieces
    * EPI Illuminator (Brightfield/Darkfield) with 50 Watt Halogen Lamp
    * 6” (dia.) Wafer Stage with 6" x 6" XY Programmable Motion &amp; Joystick
      Manual Override
    * Observing Points – 150 Channels with Max. 50 Point Memory per Channel
    * 2ea X Axis Wafer Transfer Shuttles
    * 2ea Y Axis Wafer Transfer Shuttles
    * 2ea Send/Receive Cassette Elevators</t>
  </si>
  <si>
    <t xml:space="preserve">99427</t>
  </si>
  <si>
    <t xml:space="preserve">102323</t>
  </si>
  <si>
    <t xml:space="preserve">Optistation 3000</t>
  </si>
  <si>
    <t xml:space="preserve">Microscope inspection station</t>
  </si>
  <si>
    <t xml:space="preserve">99428</t>
  </si>
  <si>
    <t xml:space="preserve">Optistation 3A</t>
  </si>
  <si>
    <t xml:space="preserve">Automatic Wafer Inspection Station</t>
  </si>
  <si>
    <t xml:space="preserve">    * Cassette to Cassette Handling of 200mm Wafers
    * Non-Contact Wafer Pre-Alignment
    * Trinocular Head with Motorized Nosepiece and Motorized Auto Focus
    * NIKON BD Plan Objectives: 5X, 20X &amp; 40X
    * NIKON BD Plan APO Objective: 100X
    * NIKON 10X Widefield Eyepieces
    * EPI Illuminator (Brightfield/Darkfield) with 50 Watt Halogen Lamp
    * 8” (dia.) Wafer Stage with 8" x 8" XY Programmable Motion &amp; Joystick
      Manual Override
    * Observing Points – 150 Channels with Max. 50 Point Memory per Channel
    * 2ea X Axis Wafer Transfer Shuttles
    * 2ea Y Axis Wafer Transfer Shuttles
    * 2ea Send/Receive Cassette Elevators</t>
  </si>
  <si>
    <t xml:space="preserve">102620</t>
  </si>
  <si>
    <t xml:space="preserve">S204B</t>
  </si>
  <si>
    <t xml:space="preserve">Wafer Stepper (Krf 248 nm)</t>
  </si>
  <si>
    <t xml:space="preserve">Please check the pictures for more information and configuration.</t>
  </si>
  <si>
    <t xml:space="preserve">102592</t>
  </si>
  <si>
    <t xml:space="preserve">S205</t>
  </si>
  <si>
    <t xml:space="preserve">Krf / 248 nm Scanner</t>
  </si>
  <si>
    <t xml:space="preserve">Equipment crated and stored in warehouse.
More inforation available upon request.</t>
  </si>
  <si>
    <t xml:space="preserve">101630</t>
  </si>
  <si>
    <t xml:space="preserve">S308F</t>
  </si>
  <si>
    <t xml:space="preserve">193 nm lithography exposure system</t>
  </si>
  <si>
    <t xml:space="preserve"> 
Resolution 	≦ 65 nm
NA 	0.92
Exposure light source 	ArF excimer laser (193 nm wavelength)
Reduction ratio 	1:4
Exposure field 	26 × 33 mm
Alignment accuracy 	≦ 8 nm</t>
  </si>
  <si>
    <t xml:space="preserve">100936</t>
  </si>
  <si>
    <t xml:space="preserve">SMZ 660</t>
  </si>
  <si>
    <t xml:space="preserve">Stereo Microscope</t>
  </si>
  <si>
    <t xml:space="preserve"> 
Objektive: G-AL 0.29x, Oculare: Nikon C-W 20x / 12.5 without stand, for 
machines
Warehoused. Please check pictures below for more information.
SOLD VIA PRIVATE TREATY BIDDING</t>
  </si>
  <si>
    <t xml:space="preserve">97869</t>
  </si>
  <si>
    <t xml:space="preserve">SMZ645</t>
  </si>
  <si>
    <t xml:space="preserve">96012</t>
  </si>
  <si>
    <t xml:space="preserve">V-24B</t>
  </si>
  <si>
    <t xml:space="preserve">92707</t>
  </si>
  <si>
    <t xml:space="preserve">VMR-C4540</t>
  </si>
  <si>
    <t xml:space="preserve">FOUP INSPECTION</t>
  </si>
  <si>
    <t xml:space="preserve">102889</t>
  </si>
  <si>
    <t xml:space="preserve">Nitto</t>
  </si>
  <si>
    <t xml:space="preserve">DR8500II</t>
  </si>
  <si>
    <t xml:space="preserve">Automatic Taper</t>
  </si>
  <si>
    <t xml:space="preserve">Automatic Laminator/Taper</t>
  </si>
  <si>
    <t xml:space="preserve">102890</t>
  </si>
  <si>
    <t xml:space="preserve">102891</t>
  </si>
  <si>
    <t xml:space="preserve">HR8500II</t>
  </si>
  <si>
    <t xml:space="preserve">Automatic Detaper, Tape Remover</t>
  </si>
  <si>
    <t xml:space="preserve">Automatic Detaping System, Detaper, Tape Remover with UV Module</t>
  </si>
  <si>
    <t xml:space="preserve">102892</t>
  </si>
  <si>
    <t xml:space="preserve">Automatic Detaping System, Detaper, Tape Remover without UV Module</t>
  </si>
  <si>
    <t xml:space="preserve">98486</t>
  </si>
  <si>
    <t xml:space="preserve">MA 3000 II</t>
  </si>
  <si>
    <t xml:space="preserve">Wafer tape mounter and demounter</t>
  </si>
  <si>
    <t xml:space="preserve">Deinstalled, warehoused. Can be inspected by appointment.
See attached photos for details.
These photos were taken when the tool was being move out from the facility 
where it was originally operating.</t>
  </si>
  <si>
    <t xml:space="preserve">101732</t>
  </si>
  <si>
    <t xml:space="preserve">NOVA</t>
  </si>
  <si>
    <t xml:space="preserve">3090</t>
  </si>
  <si>
    <t xml:space="preserve">Etch OCD Measuring</t>
  </si>
  <si>
    <t xml:space="preserve">101670</t>
  </si>
  <si>
    <t xml:space="preserve">NOVELLUS</t>
  </si>
  <si>
    <t xml:space="preserve">02-134263-00</t>
  </si>
  <si>
    <t xml:space="preserve">8" ESC</t>
  </si>
  <si>
    <t xml:space="preserve">102324</t>
  </si>
  <si>
    <t xml:space="preserve">Novellus</t>
  </si>
  <si>
    <t xml:space="preserve">Altus (Chamber)</t>
  </si>
  <si>
    <t xml:space="preserve">CVD deposition (chamber)</t>
  </si>
  <si>
    <t xml:space="preserve">102327</t>
  </si>
  <si>
    <t xml:space="preserve">C3 Altus (Chamber)</t>
  </si>
  <si>
    <t xml:space="preserve">ALD W Dep – chamber only</t>
  </si>
  <si>
    <t xml:space="preserve">102326</t>
  </si>
  <si>
    <t xml:space="preserve">CVD, Altus MAX EFX – chamber only</t>
  </si>
  <si>
    <t xml:space="preserve">102329</t>
  </si>
  <si>
    <t xml:space="preserve">C3 Speed Max</t>
  </si>
  <si>
    <t xml:space="preserve">HDP CVD Oxide</t>
  </si>
  <si>
    <t xml:space="preserve">102328</t>
  </si>
  <si>
    <t xml:space="preserve">SiN CVD deposition</t>
  </si>
  <si>
    <t xml:space="preserve">91218</t>
  </si>
  <si>
    <t xml:space="preserve">CONCEPT 3 GAMMA 2130</t>
  </si>
  <si>
    <t xml:space="preserve">91219</t>
  </si>
  <si>
    <t xml:space="preserve">91220</t>
  </si>
  <si>
    <t xml:space="preserve">CONCEPT 3 SPEED </t>
  </si>
  <si>
    <t xml:space="preserve">NEXT</t>
  </si>
  <si>
    <t xml:space="preserve">91221</t>
  </si>
  <si>
    <t xml:space="preserve">91222</t>
  </si>
  <si>
    <t xml:space="preserve">91223</t>
  </si>
  <si>
    <t xml:space="preserve">91224</t>
  </si>
  <si>
    <t xml:space="preserve">91225</t>
  </si>
  <si>
    <t xml:space="preserve">91226</t>
  </si>
  <si>
    <t xml:space="preserve">103112</t>
  </si>
  <si>
    <t xml:space="preserve">Concept Three Altus</t>
  </si>
  <si>
    <t xml:space="preserve">W CVD</t>
  </si>
  <si>
    <t xml:space="preserve">Current Condition: Installed - In Production - Process:�LRW</t>
  </si>
  <si>
    <t xml:space="preserve">103113</t>
  </si>
  <si>
    <t xml:space="preserve">103114</t>
  </si>
  <si>
    <t xml:space="preserve">Concept Three Altus Max</t>
  </si>
  <si>
    <t xml:space="preserve">102756</t>
  </si>
  <si>
    <t xml:space="preserve">Concept Three Speed MAX</t>
  </si>
  <si>
    <t xml:space="preserve">HDP CVD</t>
  </si>
  <si>
    <t xml:space="preserve">90146</t>
  </si>
  <si>
    <t xml:space="preserve">GAMMA 2100</t>
  </si>
  <si>
    <t xml:space="preserve">asher / PR STRIP</t>
  </si>
  <si>
    <t xml:space="preserve">DEINSTALLED, WAREHOUSED
The Novellus GAMMA 2100 is a six chamber photoresist removal system with an 
Interlaced Inductively Coupled Plasma (I2CP) source. The system has single 
wafer process control for six stations within the same chamber allowing 
multi-step sequential processing.</t>
  </si>
  <si>
    <t xml:space="preserve">98294</t>
  </si>
  <si>
    <t xml:space="preserve">GAMMA EXPRESS</t>
  </si>
  <si>
    <t xml:space="preserve">PR Strip</t>
  </si>
  <si>
    <t xml:space="preserve">102757</t>
  </si>
  <si>
    <t xml:space="preserve">GAMMA Express</t>
  </si>
  <si>
    <t xml:space="preserve"> Installed - In Production WET PROCESS NVLS GAMMA STRIP Tool system is 
upgraded to from GAMMA 2130 GAMMA ExpressSTANDARD SPECIFICATIONSSoftware 
Revision : V4.20B10Factory Automation: OHT PIO SensorWafer Size: Diameter 
300+/- 0.05mmCarrier: FOUP (Comply with SEMI E47.1 (25wafers))Inter Face: 3 
carrier stage (Continuous flow operation)Online Connection: GEM / CIM JGJ 
(Hardware Interface : Ethernet 100Base-Tx)Platform Type: Version 2UPS on 
system: YesEarth Leakage Breaker: YesMonitor: 2(Flat Panel Display Touch 
Screen Type,�2(QNS /WIN) ; Front,�1(WIN) ;back�Signal Tower: 
Red/Yellow/Green/Blue (Upper Left of Front x1 &amp; Upper right section of 
loader on�maintenance side x1)"EMO: Front x1, Rear x2PM to Pump 
Interconnect: 50 ftPower box for pump: MDPInter Locks: External (When the 
I/L signal is received from Factory, gas valves are closed)Configuration 
SpecificationsMF: Gamma 2130 upgread to xPREtch Chamber: Gamma 2130/ 
Position 1 to position 6RF Cable Length: RFG to Matcher, 30 ft�Generator: 
MKS GHW-50A, Max power 5000W + RF match COMET 5KW HI-THLD (XPR type)chamber 
kit : StandardWafer Lift Mechanism : FinO-Rings : Fluorosilicon/TEVGate 
Valve: Barrier seal doorGas System Type: 4 Gas ConfigurationFOUP / ATM 
Robot / Backend: 3 FOUP / YASKAWA�MP2300i controller / YASKAWA�MP2300i 
controllerFactory Automation: OHT PIO SensorCassette ID: Hermos Carrier 
IDUser Interface Options: Side and front Monitor UIInterconnect Cables 
TM_Subpanel: TM to Subpanel, 100ftConditioning Station: Conditioning 
StationNon Standard Feature: StandardGas 1: Gas/ mfc size/ mfc model: STEC 
SEC-Z500 / SEC-Z512/Z522��O2/50 SLMGas 2: Gas/ mfc size/ mfc model: STEC 
SEC-Z500 / SEC-Z512/Z522��N2/7 SLMGas 3: Gas/ mfc size/ mfc model: STEC 
SEC-Z500 / SEC-Z512/Z522�4%H2N2/20SLMGas 4: Gas/ mfc size/ mfc model: STEC 
SEC-Z500 / SEC-Z512/Z522�CF4/50 SCCMDamage/Missing parts list1.LP1 up/down 
cylinder fault�2.lamp and lamp holder fault of ATM area</t>
  </si>
  <si>
    <t xml:space="preserve">102758</t>
  </si>
  <si>
    <t xml:space="preserve"> Installed - In Production Tool system is upgraded to from GAMMA 2130 GAMMA 
ExpressSTANDARD SPECIFICATIONSSoftware Revision : V4.20B10Factory 
Automation: OHT PIO SensorWafer Size: Diameter 300+/- 0.05mmCarrier: FOUP 
(Comply with SEMI E47.1 (25wafers))Inter Face: 3 carrier stage (Continuous 
flow operation)Online Connection: GEM / CIM JGJ (Hardware Interface : 
Ethernet 100Base-Tx)Platform Type: Version 2UPS on system: YesEarth Leakage 
Breaker: YesMonitor: 2(Flat Panel Display Touch Screen Type,�2(QNS /WIN) ; 
Front,�1(WIN) ;back�Signal Tower: Red/Yellow/Green/Blue (Upper Left of 
Front x1 &amp; Upper right section of loader on�maintenance side x1)"EMO: Front 
x1, Rear x2PM to Pump Interconnect: 50 ftPower box for pump: MDPInter 
Locks: External (When the I/L signal is received from Factory, gas valves 
are closed)Configuration SpecificationsMF: Gamma 2130 upgread to xPREtch 
Chamber: Gamma 2130/ Position 1 to position 6RF Cable Length: RFG to 
Matcher, 30 ft�Generator: MKS GHW-50A, Max power 5000W + RF match COMET 5KW 
HI-THLD (XPR type)chamber kit : StandardWafer Lift Mechanism : FinO-Rings : 
Fluorosilicon/TEVGate Valve: Barrier seal doorGas System Type: 4 Gas 
ConfigurationFOUP / ATM Robot / Backend: 3 FOUP / YASKAWA�MP2300i 
controller / YASKAWA�MP2300i controllerFactory Automation: OHT PIO 
SensorCassette ID: Hermos Carrier IDUser Interface Options: Side and front 
Monitor UIInterconnect Cables TM_Subpanel: TM to Subpanel, 
100ftConditioning Station: Conditioning StationNon Standard Feature: 
StandardGas 1: Gas/ mfc size/ mfc model: STEC SEC-Z500 / 
SEC-Z512/Z522��O2/50 SLMGas 2: Gas/ mfc size/ mfc model: STEC SEC-Z500 / 
SEC-Z512/Z522��N2/7 SLMGas 3: Gas/ mfc size/ mfc model: STEC SEC-Z500 / 
SEC-Z512/Z522�4%H2N2/20SLMGas 4: Gas/ mfc size/ mfc model: STEC SEC-Z500 / 
SEC-Z512/Z522�CF4/50 SCCMDamage/Missing parts list1.LP1 communication 
fail2.FFU Fan fault</t>
  </si>
  <si>
    <t xml:space="preserve">102330</t>
  </si>
  <si>
    <t xml:space="preserve">Inova</t>
  </si>
  <si>
    <t xml:space="preserve">Ta Barrier / Cu Seed Deposition</t>
  </si>
  <si>
    <t xml:space="preserve">102332</t>
  </si>
  <si>
    <t xml:space="preserve">Inova NExT</t>
  </si>
  <si>
    <t xml:space="preserve">Al Stack Meta</t>
  </si>
  <si>
    <t xml:space="preserve">102331</t>
  </si>
  <si>
    <t xml:space="preserve">Al Stack Metal</t>
  </si>
  <si>
    <t xml:space="preserve">103143</t>
  </si>
  <si>
    <t xml:space="preserve">Inova Next</t>
  </si>
  <si>
    <t xml:space="preserve">87842</t>
  </si>
  <si>
    <t xml:space="preserve">PVD - Copper Barrier / Seed Process</t>
  </si>
  <si>
    <t xml:space="preserve">De-installed, warehoused. Inspection is available by appointment.
Not currently in working condition
INOVA NEXT 300 mm PVD Cu Barrier/Seed System
Features/Descriptions 	Status 	 
System Tool 	  	 
MODEL 	INOVA NEXT 300MM CU B/S 	 
VINTAGE 	11/16/2010 	 
DESCRIPTION 	PVD CU, TA(N) 	 
DEGAS 	2 	 
PRE-CLEAN ETCH 	2 	 
HCM PVD TA(N) 	2 	 
HCM PVD CU 	2 	 
ACTIVE COOL STATION 	1 	 
SMIF 	NONE 	 
AUTOMATION 	SECE Ⅰ/Ⅱ 	 
Y2K 	YES 	 
EFEM / WTS-HV 	1 	 
WAFER TYPE 	NOTCH 	 
EFEM 	  	 
LOAD PORT 	3 FOUP 	 
Primary User Interface Location 	RIGHT with keyboard and mouse, and monitor 	
Primary User Interface Configuration 	Clean room wall interface 	 
WAFER/FOUP 	25 	 
ROBOT 	ATM, 	 
PEC STATION 	YES 	 
PEC SLOT 	17 	 
MKS Ionizer 	YES 	 
WTS-HV 	  	 
ROBOT 	Brooks Magnatran 	 
ROBOT BLADE 	CERAMIC, DUAL 	 
SIOC 	0,1,2,3,4 	 
POWER SUPPLY(ASTEC) 	2 	 
CRYO HUB 	1 	 
CRYO PUMP(OBIS-8F) 	1 	 
ISOLATION VALVE(VAT) 	6 	 
SYSTEM CONTROLLER 	YES 	 
HANDLER CONTROLLER 	YES 	 
ETHERNET 	NETGEAR 	 
LOADLOCK(LEFT) 	  	 
(1) TURBO PUMP(TMH071P) 	YES 	 
(2) ISOLATION VALVE 	YES, VAT 	 
LOADLOCK(RIGHT) 	  	 
(1) TURBO PUMP(TMH071P) 	YES 	 
(2) ISOLATION VALVE 	YES, VAT 	 
DEGAS(LEFT) 	  	 
(1) TURBO PUMP(TMU521P) 	YES 	 
(2) ISOLATION VALVE 	YES, VAT 	 
DEGAS(RIGHT) 	  	 
(1) TURBO PUMP(TMU521P) 	YES 	 
(2) ISOLATION VALVE 	YES, VAT 	 
COOL 	  	 
(1) TURBO PUMP(TMH071P) 	YES 	 
(2) WAFER DETEC SENSOR 	YES 	 
PRE-CLEAN A 	  	 
DOME(CERAMIC) 	YES 	 
SHIELD KIT 	YES 	 
TURBO PUMP(TC750-E74) 	YES 	 
TURBO CONTROLLER 	YES 	 
RF MATCH BOX 	AE MERCURY 3013(27-265775- 00/3150274-009 A) 	 
GAS BOX 	YES 	 
LPB 	YES 	 
SIOC 	YES 	 
ESC RF PEDESTAL 	YES 	 
MFC(Ar, 100sccm) 	YES 	 
MFC(N2, 50sccm) 	YES 	 
UPC(300sccm) 	YES 	 
ION GAUGE 	YES 	 
PRE-CLEAN B 	EQUIP NO: 	 
DOME(CERAMIC) 	YES 	 
SHIELD KIT 	YES 	 
TURBO PUMP(TC750-E74) 	YES 	 
TURBO CONTROLLER 	YES 	 
RF MATCH BOX 	AE MERCURY 3013(27-265775- 00/3150274-009 A) 	 
GAS BOX 	YES 	 
LPB 	YES 	 
SIOC 	YES 	 
ESC RF PEDESTAL 	YES 	 
MFC(Ar, 100sccm) 	YES 	 
MFC(N2, 50sccm) 	YES 	 
UPC(300sccm) 	YES 	 
ION GAUGE 	YES 	 
HCM TAN A 	EQUIP NO: 	 
TARGET 	NA 	 
SHIELD KIT 	NA 	 
1 GAP ESC RF PEDESTAL 	YES 	 
ANODE 	NA 	 
RF MATCH BOX 	AE NAVIGATOR 2013 L70Z 	 
CRYO PUMP(OBIS-8F) 	YES 	 
LPB 	YES 	 
SIOC 	YES, Firmware Ver: 4.72 	 
MFC(Ar, 100sccm) 	YES 	 
MFC(N2, 50sccm) 	YES 	 
QUARTZ LAMP 	YES 	 
HCM TAN B 	EQUIP NO: 	 
TARGET 	NA 	 
SHIELD KIT 	NA 	 
1 GAP ESC RF PEDESTAL 	YES 	 
ANODE 	NA 	 
RF MATCH BOX 	AE NAVIGATOR 2013 L70Z 	 
CRYO PUMP(OBIS-8F) 	YES 	 
LPB 	YES 	 
SIOC 	YES, Firmware Ver: 4.72 	 
MFC(Ar, 100sccm) 	YES 	 
MFC(N2, 50sccm) 	YES 	 
QUARTZ LAMP 	YES 	 
INOVA NEXT 300 mm PVD Cu Barrier/Seed System 	 
RF GENERATOR 	 
(1) AE RFG5500(5KW) 	YES
(2) AE PDX5000 	YES
RF RACK 	 
(1) AE RFG5500(5KW) 	YES
(2) AE PDX5000 	YES
PVD5 TA, ALP, CPI, UPS 	 
RF GENERATOR(APEX 3013) 	YES
SIOC1 &amp; SIOC2 	YES
EM COIL POWER SUPPLY 	 
(1) LAMBDA(GENH 150-5) 	2
(2) LAMBDA(GENH 60-12.5) 	1
(3) SORENSEN(DLM 60-10) 	8
ESC POWER SUPPLY 	 
(1) TREK INC(685-L-CE) 	1
(2) P/N 	27-250517-00
DC POWER SUPPLY 	 
CPI CPW2870B18 	YES
PVD3 TA, ALP, CPI, UPS 	 
RF GENERATOR(APEX 3013) 	YES
SIOC1 &amp; SIOC2 	YES
EM COIL POWER SUPPLY 	 
(1) LAMBDA(GENH 150-5) 	2
(2) LAMBDA(GENH 60-12.5) 	1
(3) SORENSEN(DLM 60-10) 	8
ESC POWER SUPPLY 	 
(1) TREK INC(685-L-CE) 	1
(2) P/N 	27-250517-00
DC POWER SUPPLY 	 
CPI CPW2870B18 	YES
HCM CU A 	 
TARGET 	NA
SHIELD KIT 	NA
1 GAP ESC RF PEDESTAL 	YES
ANODE 	NA
RF MATCH BOX 	AE NAVIGATOR 2013 L70Z
CRYO PUMP(OBIS-8F) 	YES
LPB 	YES
SIOC 	YES, Firmware Ver: 4.72
MFC(Ar, 200sccm) 	YES
MFC(Ar, 10sccm) 	YES
ION GAUGE 	YES
QUARTZ LAMP 	YES
HCM CU B 	 
TARGET 	NA
SHIELD KIT 	NA
1 GAP ESC RF PEDESTAL 	YES
ANODE 	NA
RF MATCH BOX 	AE NAVIGATOR 2013 L70Z
CRYO PUMP(OBIS-8F) 	YES
LPB 	YES
SIOC 	YES, Firmware Ver: 4.72
MFC(Ar, 200sccm) 	YES
MFC(Ar, 10sccm) 	YES
ION GAUGE 	YES
QUARTZ LAMP 	YES
MISCELLANEOUS 	 
CHILLER(AFFINITY) 	1
CHILLER(POLYCOLD) 	 
(1) 1XCL 	2
(2) 2XCL 	2
MPD 	EQIP NO:58249
(1) MODEL 	C3-MPD(UPS)
(3) MAIN 	208VAC/3PH/50-60HZ/FULL
272AMP/TRIP 340AMP
(4) UPS 	208VAC/3PH/50-60HZ/FULL
160AMP/TRIP 200AMP
He Compressor(IS-1000) 	2
INOVA NEXT 300 mm PVD Cu Barrier/Seed System 	 
RF GENERATOR(RFG 1251) 	3155107-101/R27-156759-00
SIOC1 	YES
EM COIL POWER SUPPLY 	 
(1) SORENSEN(DLS80-13E) 	1
(2) SORENSEN(DLM 60-10) 	7
ESC POWER SUPPLY 	 
(2) P/N 	02-344889-00 REV.B
DC POWER SUPPLY 	 
CPI CPW2870B18 	YES
(2) P/N 	27-358856-00
PVD7 RACK_CU HCM(UPS) 	 
RF GENERATOR(RFG 1251) 	3155107-101/R27-156759-00
SIOC1 	YES
EM COIL POWER SUPPLY 	 
(1) SORENSEN(DLS80-13E) 	1
(2) SORENSEN(DLM 60-10) 	7
ESC POWER SUPPLY 	 
(1) TREK INC(685-L-CE) 	1
(2) P/N 	02-344889-00 REV.B
DC POWER SUPPLY 	 
CPI CPW2870B18 	YES
(2) P/N 	27-358856-00
 </t>
  </si>
  <si>
    <t xml:space="preserve">102333</t>
  </si>
  <si>
    <t xml:space="preserve">TFM_TiN-HM Dep</t>
  </si>
  <si>
    <t xml:space="preserve">102334</t>
  </si>
  <si>
    <t xml:space="preserve">Inova XT</t>
  </si>
  <si>
    <t xml:space="preserve">Sputter Dep</t>
  </si>
  <si>
    <t xml:space="preserve">103144</t>
  </si>
  <si>
    <t xml:space="preserve">MB2</t>
  </si>
  <si>
    <t xml:space="preserve">Metal PVD System</t>
  </si>
  <si>
    <t xml:space="preserve">103145</t>
  </si>
  <si>
    <t xml:space="preserve">103146</t>
  </si>
  <si>
    <t xml:space="preserve">88117</t>
  </si>
  <si>
    <t xml:space="preserve">MPS2-610V</t>
  </si>
  <si>
    <t xml:space="preserve">91233</t>
  </si>
  <si>
    <t xml:space="preserve">NOVELLUS CONCEPT 3 INOVA</t>
  </si>
  <si>
    <t xml:space="preserve">102335</t>
  </si>
  <si>
    <t xml:space="preserve">Sabre 3D</t>
  </si>
  <si>
    <t xml:space="preserve">Copper Electrochemical deposition</t>
  </si>
  <si>
    <t xml:space="preserve">System Configuration
3PLA6 	 
#Product 	 Sabre3d
#Version 	 Ver_1.70_B132
Proteus Info: 	 
Version 	5.07
Build 	119
QNX Operating System Info: 	 
Version 	4.25
Windows Operating System Info: 	 
OS 	 Microsoft Windows XP
Version 	5.1
Build 	2600
Service Pack 	 Service Pack 3
Node IP Addresses: 	 
UI Computer 	 192.168.1.3
Node-1 	 192.168.9.20
Node-2 	 192.168.0.1
Node-3 	 192.168.0.1
Node-4 	 Not Available
Footprint Info: 	 
Front End 	 Installed
Back End Robot 	 Installed
Wafer Aligner 	 Installed
CDM For APT Module 	 Installed
CDM For XMM Module 	 Installed
PPT Module 1 	 Not Installed
PPT Module 2 	 Installed
PPT Module 3 	 Not Installed
PPT Module 4 	 Installed
Plate A Duet 1 	 Installed
Plate A Duet 2 	 Installed
Plate A Duet 3 	 Not Installed
Plate A Duet 4 	 Not Installed
Plate B Duet 1 	 Not Installed
Plate B Duet 2 	 Not Installed
Plate B Duet 3 	 Not Installed
Plate B Duet 4 	 Not Installed
Bath Module 1 	 Installed
Bath Module 2 	 Not Installed
Bath Module 3 	 Not Installed
Bath Module 4 	 Not Installed
Bath Module 5 	 Not Installed
Bath Module 6 	 Not Installed
Bath Module 7 	 Not Installed
Bath Module 8 	 Not Installed
Plate A Flow Distribution 1 	 Installed
Plate A Flow Distribution 2 	 Installed
Plate A Flow Distribution 3 	 Not Installed
Plate A Flow Distribution 4 	 Not Installed
Plate B Flow Distribution 1 	 Not Installed
Plate B Flow Distribution 2 	 Not Installed
Plate B Flow Distribution 3 	 Not Installed
Plate B Flow Distribution 4 	 Not Installed
PMA Bath Configuration 	 AANN
PMB Bath Configuration 	 None
CE-System Settings: 	 
Front End Wafer Handler Option 	 Pod Loader with Buttons and Lights - PS
Wafer Size 	 300 mm wafers
Wafer Fiducial 	 Notched wafers
System IO Card Input Polarity 	 Standard polarity
Signal Tower 	 Installed
EIOC Support 	 EIOC Installed
GEM and Data Server Status 	 Advanced FA
Host Connection Type 	 HSMS
Automated Material Handling System 	 SEMI E84 Installed
Uninterruptible Power Supply (UPS) Option 	 Not Installed
Wafer History 	 Installed
Proteus Configuration 	 Installed
Facilities Chemical Interface 	 Installed
Front end Robot Type 	 Single Arm
Back end Robot Type 	 One Dual Arm
Data Server Timestamp Source 	 Real Time Clock
Fan Filter Unit Information 	 Not Installed
Wafer Aligner 	 Installed by CWS Wafer Size Detection
Clamshell Lift Controller 	 Single
CE-Module Front End Settings: 	 
IOC Type 	 Ethernet Based IOC
Wafers per Cassette 	 25 Wafers
Automated Cassette Transfer 	 SEMI E84
Active Wafer Centering 	 Installed
CA Mode 	 Event Mode
Number of Load Ports 	 Three Load Ports
Robot type 	 Traverser (slide axis) -- Vacuum
Pod Loader Communication Type 	 Ethernet
Fixloader Command Mode 	 Extended mode with Pod Present Sensor
Fixloader Hardware Type 	 Standard with Pod Present Sensor
AMHS Setting 	 Default
RFID Communication Type 	 Serial Port Com/Ioc
PPT1 AWC Enabled Checking Firmware 	 Not Installed
PPT2 AWC Enabled Checking Firmware 	 Installed
Pod Loader Map Source 	 Robot
Pod Loader Wafer Size 	 330mm
CE-Module CDM For APT Module Settings: 	 
ADM Process Delivery 	 Process DI only
CE-Module CDM For XMM Module Settings: 	 
PCDM Module Type 	 SRD configuration Module
CE-Module PPT Module 1 Settings: 	 
Not Found: Module is not available 	 
CE-Module PPT Module 2 Settings: 	 
Wafer Size 	 330mm
Wafer Type 	 Notch
PPT Module Type 	 Post Treatment Module
Super Cell Configuration 	 SRD
PPT Tank Type 	 ADM Process DI only
Valve Position Sensors 	 Installed
DI Flow Meters 	 Installed
CE-Module PPT Module 4 Settings: 	 
Wafer Size 	 330mm
Wafer Type 	 Notch
PPT Module Type 	 Post Treatment Module
Super Cell Configuration 	 SRD
EBR installation Type 	 EBR not installed
EBR Syringe Pump Type 	 SyringePump Not Installed
Active Wafer Detection 	 AWD installed
Valve Position Sensors 	 Installed
DI Flow Meters 	 Installed
N2 Dry 	 Installed
EBR Flow Meters Type 	 Not installed
SRD Vacuum Grip Chuck 	 Not installed
CE-Module Plate A Duet 1 Settings: 	 
Wafer Size 	 330mm
Wafer Type 	 Notch
Cup And Contact Rinse Configuration 	 Cup And Contact Rinse Installed
Separate Anode Chamber (SAC) 	 Cascaded SAC
Plating Power Supply Control Type 	 Serial Control Installed
Number of Power Supplies Installed 	 Single Power Supply Installed
Cell Flow Meter Configuration 	 5-50 Liter Cell Flow Meters Installed
EIOC Type Installed 	 88 I/O EIOC Installed
Valve Position Sensors 	 Installed
SAC Flow Meter 	 Installed
SAC Pump Type 	 Standard
CE-Module Plate A Duet 2 Settings: 	 
Wafer Size 	 330mm
Wafer Type 	 Notch
Cup And Contact Rinse Configuration 	 Cup And Contact Rinse Installed
Separate Anode Chamber (SAC) 	 Cascaded SAC
Plating Power Supply Control Type 	 Serial Control Installed
Number of Power Supplies Installed 	 Single Power Supply Installed
Cell Flow Meter Configuration 	 5-50 Liter Cell Flow Meters Installed
EIOC Type Installed 	 88 I/O EIOC Installed
Valve Position Sensors 	 Installed
SAC Flow Meter 	 Installed
SAC Pump Type 	 Standard
CE-Module Bath Module 1 Settings: 	 
Online Chemical Monitoring System 	 CMS Installed
CMS Communication Protocol 	 Enhanced CMS Command Set
Chemical Package 	 Copper
Dosing Algorithm 	 Multi Specie Dosing
Number of Species 	 5 Species
Seperate Anode Chamber (SAC) 	 Cascaded SAC
Chemistry Tray Container Type 	 Bottles
Delivery choice for Feed A 	 Bulk
Delivery choice for Feed B 	 Bottle
Delivery choice for Feed C 	 Bottle
Delivery choice for Feed D 	 Bottle
Organic Dosing 	 3 Containers
Bottle Empty Sensors 	 Not Installed
Bottle 1 Component 	 Feed C
Bottle 2 Component 	 Feed B
Bottle 3 Component 	 Feed D
Heater Chiller 	 Neslab Heater Chiller
VMS Facility Request Channel 	 Channel 1
Organic Dose Delivery 	 Pump
Dose Pump Flow Switch 	 Installed
EIOC1 Type Installed 	 88 I/O EIOC Installed
Number of Central Recirculation Pumps 	 1 Recirculation Pump
Recirculation Pump Type 	 Renner Recirc Pump
Bath Module 1 	 Installed
CE-Module Plate A Flow Distribution 1 Settings: 	 
FDM Flow Meter Configuration 	 0-80 LPM Flow Meter Installed
FDM Pump Configuration 	 Independant Pump Installed
Pump Recirculation Option 	 Central Recirc
CE-Module Plate A Flow Distribution 2 Settings: 	 
FDM Flow Meter Configuration 	 0-80 LPM Flow Meter Installed
FDM Pump Configuration 	 Independant Pump Installed
Pump Recirculation Option 	 Central Recirc
System Configuration
3PLA6 	 
#Product 	 Sabre3d
#Version 	 Ver_1.70_B132
Proteus Info: 	 
Version 	5.07
Build 	119
QNX Operating System Info: 	 
Version 	4.25
Windows Operating System Info: 	 
OS 	 Microsoft Windows XP
Version 	5.1
Build 	2600
Service Pack 	 Service Pack 3
Node IP Addresses: 	 
UI Computer 	 192.168.1.3
Node-1 	 192.168.9.20
Node-2 	 192.168.0.1
Node-3 	 192.168.0.1
Node-4 	 Not Available
Footprint Info: 	 
Front End 	 Installed
Back End Robot 	 Installed
Wafer Aligner 	 Installed
CDM For APT Module 	 Installed
CDM For XMM Module 	 Installed
PPT Module 1 	 Not Installed
PPT Module 2 	 Installed
PPT Module 3 	 Not Installed
PPT Module 4 	 Installed
Plate A Duet 1 	 Installed
Plate A Duet 2 	 Installed
Plate A Duet 3 	 Not Installed
Plate A Duet 4 	 Not Installed
Plate B Duet 1 	 Not Installed
Plate B Duet 2 	 Not Installed
Plate B Duet 3 	 Not Installed
Plate B Duet 4 	 Not Installed
Bath Module 1 	 Installed
Bath Module 2 	 Not Installed
Bath Module 3 	 Not Installed
Bath Module 4 	 Not Installed
Bath Module 5 	 Not Installed
Bath Module 6 	 Not Installed
Bath Module 7 	 Not Installed
Bath Module 8 	 Not Installed
Plate A Flow Distribution 1 	 Installed
Plate A Flow Distribution 2 	 Installed
Plate A Flow Distribution 3 	 Not Installed
Plate A Flow Distribution 4 	 Not Installed
Plate B Flow Distribution 1 	 Not Installed
Plate B Flow Distribution 2 	 Not Installed
Plate B Flow Distribution 3 	 Not Installed
Plate B Flow Distribution 4 	 Not Installed
PMA Bath Configuration 	 AANN
PMB Bath Configuration 	 None
CE-System Settings: 	 
Front End Wafer Handler Option 	 Pod Loader with Buttons and Lights - PS
Wafer Size 	 300 mm wafers
Wafer Fiducial 	 Notched wafers
System IO Card Input Polarity 	 Standard polarity
Signal Tower 	 Installed
EIOC Support 	 EIOC Installed
GEM and Data Server Status 	 Advanced FA
Host Connection Type 	 HSMS
Automated Material Handling System 	 SEMI E84 Installed
Uninterruptible Power Supply (UPS) Option 	 Not Installed
Wafer History 	 Installed
Proteus Configuration 	 Installed
Facilities Chemical Interface 	 Installed
Front end Robot Type 	 Single Arm
Back end Robot Type 	 One Dual Arm
Data Server Timestamp Source 	 Real Time Clock
Fan Filter Unit Information 	 Not Installed
Wafer Aligner 	 Installed by CWS Wafer Size Detection
Clamshell Lift Controller 	 Single
CE-Module Front End Settings: 	 
IOC Type 	 Ethernet Based IOC
Wafers per Cassette 	 25 Wafers
Automated Cassette Transfer 	 SEMI E84
Active Wafer Centering 	 Installed
CA Mode 	 Event Mode
Number of Load Ports 	 Three Load Ports
Robot type 	 Traverser (slide axis) -- Vacuum
Pod Loader Communication Type 	 Ethernet
Fixloader Command Mode 	 Extended mode with Pod Present Sensor
Fixloader Hardware Type 	 Standard with Pod Present Sensor
AMHS Setting 	 Default
RFID Communication Type 	 Serial Port Com/Ioc
PPT1 AWC Enabled Checking Firmware 	 Not Installed
PPT2 AWC Enabled Checking Firmware 	 Installed
Pod Loader Map Source 	 Robot
Pod Loader Wafer Size 	 330mm
CE-Module CDM For APT Module Settings: 	 
ADM Process Delivery 	 Process DI only
CE-Module CDM For XMM Module Settings: 	 
PCDM Module Type 	 SRD configuration Module
CE-Module PPT Module 1 Settings: 	 
Not Found: Module is not available 	 
CE-Module PPT Module 2 Settings: 	 
Wafer Size 	 330mm
Wafer Type 	 Notch
PPT Module Type 	 Post Treatment Module
Super Cell Configuration 	 SRD
PPT Tank Type 	 ADM Process DI only
Valve Position Sensors 	 Installed
DI Flow Meters 	 Installed
CE-Module PPT Module 4 Settings: 	 
Wafer Size 	 330mm
Wafer Type 	 Notch
PPT Module Type 	 Post Treatment Module
Super Cell Configuration 	 SRD
EBR installation Type 	 EBR not installed
EBR Syringe Pump Type 	 SyringePump Not Installed
Active Wafer Detection 	 AWD installed
Valve Position Sensors 	 Installed
DI Flow Meters 	 Installed
N2 Dry 	 Installed
EBR Flow Meters Type 	 Not installed
SRD Vacuum Grip Chuck 	 Not installed
CE-Module Plate A Duet 1 Settings: 	 
Wafer Size 	 330mm
Wafer Type 	 Notch
Cup And Contact Rinse Configuration 	 Cup And Contact Rinse Installed
Separate Anode Chamber (SAC) 	 Cascaded SAC
Plating Power Supply Control Type 	 Serial Control Installed
Number of Power Supplies Installed 	 Single Power Supply Installed
Cell Flow Meter Configuration 	 5-50 Liter Cell Flow Meters Installed
EIOC Type Installed 	 88 I/O EIOC Installed
Valve Position Sensors 	 Installed
SAC Flow Meter 	 Installed
SAC Pump Type 	 Standard
CE-Module Plate A Duet 2 Settings: 	 
Wafer Size 	 330mm
Wafer Type 	 Notch
Cup And Contact Rinse Configuration 	 Cup And Contact Rinse Installed
Separate Anode Chamber (SAC) 	 Cascaded SAC
Plating Power Supply Control Type 	 Serial Control Installed
Number of Power Supplies Installed 	 Single Power Supply Installed
Cell Flow Meter Configuration 	 5-50 Liter Cell Flow Meters Installed
EIOC Type Installed 	 88 I/O EIOC Installed
Valve Position Sensors 	 Installed
SAC Flow Meter 	 Installed
SAC Pump Type 	 Standard
CE-Module Bath Module 1 Settings: 	 
Online Chemical Monitoring System 	 CMS Installed
CMS Communication Protocol 	 Enhanced CMS Command Set
Chemical Package 	 Copper
Dosing Algorithm 	 Multi Specie Dosing
Number of Species 	 5 Species
Seperate Anode Chamber (SAC) 	 Cascaded SAC
Chemistry Tray Container Type 	 Bottles
Delivery choice for Feed A 	 Bulk
Delivery choice for Feed B 	 Bottle
Delivery choice for Feed C 	 Bottle
Delivery choice for Feed D 	 Bottle
Organic Dosing 	 3 Containers
Bottle Empty Sensors 	 Not Installed
Bottle 1 Component 	 Feed C
Bottle 2 Component 	 Feed B
Bottle 3 Component 	 Feed D
Heater Chiller 	 Neslab Heater Chiller
VMS Facility Request Channel 	 Channel 1
Organic Dose Delivery 	 Pump
Dose Pump Flow Switch 	 Installed
EIOC1 Type Installed 	 88 I/O EIOC Installed
Number of Central Recirculation Pumps 	 1 Recirculation Pump
Recirculation Pump Type 	 Renner Recirc Pump
Bath Module 1 	 Installed
CE-Module Plate A Flow Distribution 1 Settings: 	 
FDM Flow Meter Configuration 	 0-80 LPM Flow Meter Installed
FDM Pump Configuration 	 Independant Pump Installed
Pump Recirculation Option 	 Central Recirc
CE-Module Plate A Flow Distribution 2 Settings: 	 
FDM Flow Meter Configuration 	 0-80 LPM Flow Meter Installed
FDM Pump Configuration 	 Independant Pump Installed
Pump Recirculation Option 	 Central Recirc</t>
  </si>
  <si>
    <t xml:space="preserve">66400</t>
  </si>
  <si>
    <t xml:space="preserve">Speed C2</t>
  </si>
  <si>
    <t xml:space="preserve">CVD TRIPLE CHAMBER</t>
  </si>
  <si>
    <r>
      <rPr>
        <sz val="8"/>
        <rFont val="Arial"/>
        <family val="0"/>
        <charset val="1"/>
      </rPr>
      <t xml:space="preserve">NOVELLUS     CONCEPT 2 SPEED   
Triple Chamber, MAG 2000, 8",2000, 3C/H 
Novellus Speed C2-Specifications
Item
Value
DLCM model name
C2-DLCM-S
DLCM serial number
-
DLCM Type
Rorze Type
Indexer controller
Animatics
Loadlock pressure gauge Tylan 10torr baratron
Loadlock slit valve
SMC
Loadlock purge</t>
    </r>
    <r>
      <rPr>
        <sz val="8"/>
        <rFont val="Noto Sans CJK SC"/>
        <family val="2"/>
        <charset val="1"/>
      </rPr>
      <t xml:space="preserve">용 </t>
    </r>
    <r>
      <rPr>
        <sz val="8"/>
        <rFont val="Arial"/>
        <family val="0"/>
        <charset val="1"/>
      </rPr>
      <t xml:space="preserve">MFC
Transfer robot
MAG 7
Robot arm
Dual arm
Process module slit valve
SMC
Transfer pressure gauge Tylan 10torr baratron
Transfer throttle valve
MKS
Turbo pump
Pfeiffer TMH260
Module cotroller
MC1
IOC
V 4.1
Front UI
New Type
Power Config
Main &amp; UPS
SystemController
MC1
SSD Type
MSSD
IOC #3 Version
V 4.1
Item
Chamber A
Chamber B
Chamber C
Module Model Name
SPD-S
Module Serial Number
Turbo Pump
LEYBOLD W2000
Turbo Pump Controller
LEYBOLD MAG 2000 DRIVE
Module Controller
MC1
IOC Version
V 4.1
MFC Type
UPC Type
MKS
Pressure Gauge(10T/20T)
MKS
MKS
MKS
ESC power supply
NTM500
NTM500
NTM500
RF match
Trazer
Trazer
Trazer
Throttle Valve
MKS
MKS
MKS
HF Generator
AE/RFG 5500
LF Generator
AE/PDX 5000
 </t>
    </r>
  </si>
  <si>
    <t xml:space="preserve">90376</t>
  </si>
  <si>
    <t xml:space="preserve">NOVELLUS     CONCEPT 2 SPEED   Triple Chamber, MAG 2200    8"       2003   
3C/H 
-PLEASE REFER TO THE ATTACHED PHOTOS FOR DETAILS OF THE CURRENT CONDITION 
AND CONFIGURATION.</t>
  </si>
  <si>
    <t xml:space="preserve">88118</t>
  </si>
  <si>
    <t xml:space="preserve">TOP  MATCH</t>
  </si>
  <si>
    <t xml:space="preserve">98295</t>
  </si>
  <si>
    <t xml:space="preserve">VECTOR</t>
  </si>
  <si>
    <t xml:space="preserve">102337</t>
  </si>
  <si>
    <t xml:space="preserve">PESiN</t>
  </si>
  <si>
    <t xml:space="preserve">102336</t>
  </si>
  <si>
    <t xml:space="preserve">PESiN/PETEOS</t>
  </si>
  <si>
    <t xml:space="preserve">100924</t>
  </si>
  <si>
    <t xml:space="preserve">VECTOR EXTREME</t>
  </si>
  <si>
    <t xml:space="preserve">PECVD Nitride</t>
  </si>
  <si>
    <t xml:space="preserve">100925</t>
  </si>
  <si>
    <t xml:space="preserve">100926</t>
  </si>
  <si>
    <t xml:space="preserve">102893</t>
  </si>
  <si>
    <t xml:space="preserve">Novellus Gasonics</t>
  </si>
  <si>
    <t xml:space="preserve">A3010</t>
  </si>
  <si>
    <t xml:space="preserve">Dry/Plasma Asher</t>
  </si>
  <si>
    <t xml:space="preserve">Single Chamber Dry Asher</t>
  </si>
  <si>
    <t xml:space="preserve">101972</t>
  </si>
  <si>
    <t xml:space="preserve">NPC</t>
  </si>
  <si>
    <t xml:space="preserve">EL Inspection Machine</t>
  </si>
  <si>
    <t xml:space="preserve">EL/PL Inspection</t>
  </si>
  <si>
    <t xml:space="preserve">101973</t>
  </si>
  <si>
    <t xml:space="preserve">101974</t>
  </si>
  <si>
    <t xml:space="preserve">88119</t>
  </si>
  <si>
    <t xml:space="preserve">NPP</t>
  </si>
  <si>
    <t xml:space="preserve">NPG-10KM</t>
  </si>
  <si>
    <t xml:space="preserve">88120</t>
  </si>
  <si>
    <t xml:space="preserve">NPG-15KM</t>
  </si>
  <si>
    <t xml:space="preserve">88121</t>
  </si>
  <si>
    <t xml:space="preserve">NPG-3KG</t>
  </si>
  <si>
    <t xml:space="preserve">88122</t>
  </si>
  <si>
    <t xml:space="preserve">NPG-8000H</t>
  </si>
  <si>
    <t xml:space="preserve">88123</t>
  </si>
  <si>
    <t xml:space="preserve">NPM-10KCSM</t>
  </si>
  <si>
    <t xml:space="preserve">88124</t>
  </si>
  <si>
    <t xml:space="preserve">NPM-1250M</t>
  </si>
  <si>
    <t xml:space="preserve">88125</t>
  </si>
  <si>
    <t xml:space="preserve">NPM-1250X</t>
  </si>
  <si>
    <t xml:space="preserve">88126</t>
  </si>
  <si>
    <t xml:space="preserve">88127</t>
  </si>
  <si>
    <t xml:space="preserve">NPM-3KCAT</t>
  </si>
  <si>
    <t xml:space="preserve">88128</t>
  </si>
  <si>
    <t xml:space="preserve">NPR-802L</t>
  </si>
  <si>
    <t xml:space="preserve">88129</t>
  </si>
  <si>
    <t xml:space="preserve">NPR-804L</t>
  </si>
  <si>
    <t xml:space="preserve">29</t>
  </si>
  <si>
    <t xml:space="preserve">88130</t>
  </si>
  <si>
    <t xml:space="preserve">NPR-804LJ</t>
  </si>
  <si>
    <t xml:space="preserve">88131</t>
  </si>
  <si>
    <t xml:space="preserve">NPRLC-400</t>
  </si>
  <si>
    <t xml:space="preserve">102650</t>
  </si>
  <si>
    <t xml:space="preserve">NSK</t>
  </si>
  <si>
    <t xml:space="preserve">SSB014FN517</t>
  </si>
  <si>
    <t xml:space="preserve">Megatorque Motor Servo 110VAC Direct Drive</t>
  </si>
  <si>
    <t xml:space="preserve">Used equipment in Working condition.
Please check the attachments below for more information.</t>
  </si>
  <si>
    <t xml:space="preserve">93209</t>
  </si>
  <si>
    <t xml:space="preserve">Oerlikon</t>
  </si>
  <si>
    <t xml:space="preserve">1000C</t>
  </si>
  <si>
    <t xml:space="preserve">101767</t>
  </si>
  <si>
    <t xml:space="preserve">BAK760C</t>
  </si>
  <si>
    <t xml:space="preserve">PVD Sputtering System</t>
  </si>
  <si>
    <t xml:space="preserve">Specifications
- BPU420 E and VAX420
- EHV 110 Power supply
- 1 multi crucible  ESQ113 (4 pockets)
- 1 single crucible ESQ110
- 2 EKS 110,
- 2 ETS 110 (modification with PLC )for crucible rotation,
- 1 QSK 300 head (mono quartz)
- 1 TPG300 gauges controller
The tool was used to deposit the following metals:
-Aluminum
-Titanum
-Nickel
-Gold
It was used in production for  6 inch wafers
-3 platen of 12 positions in 6 inches = 36 wafers for 1 run
Platens are manually loaded in and out of the tool.
It is also possible to to use 3 platens of with positions with 8 inch 
wafers.
The tool currently includes a platen for loading 6 inch wafers only.
The tool is warehoused/not crated
Tool was functional before dismantling
Please check pictures below for more information.</t>
  </si>
  <si>
    <t xml:space="preserve">102570</t>
  </si>
  <si>
    <t xml:space="preserve">Olympus</t>
  </si>
  <si>
    <t xml:space="preserve">AL110-LMB12 / MX50LR </t>
  </si>
  <si>
    <t xml:space="preserve">Auto Loader </t>
  </si>
  <si>
    <t xml:space="preserve">102571</t>
  </si>
  <si>
    <t xml:space="preserve">AL120-LMB12-LP3 / MX61L </t>
  </si>
  <si>
    <t xml:space="preserve">101975</t>
  </si>
  <si>
    <t xml:space="preserve">AL3100</t>
  </si>
  <si>
    <t xml:space="preserve">102638</t>
  </si>
  <si>
    <t xml:space="preserve">BA124L001</t>
  </si>
  <si>
    <t xml:space="preserve">DC MOTOR W/ D500 GEAR HEAD</t>
  </si>
  <si>
    <t xml:space="preserve">In Avezzano, Italy. See attached photos for details of condition.</t>
  </si>
  <si>
    <t xml:space="preserve">102639</t>
  </si>
  <si>
    <t xml:space="preserve">87492</t>
  </si>
  <si>
    <t xml:space="preserve">OLYMPUS</t>
  </si>
  <si>
    <t xml:space="preserve">BH-BHM</t>
  </si>
  <si>
    <t xml:space="preserve">Wafer Inspection Microscope </t>
  </si>
  <si>
    <t xml:space="preserve">Manufacturer  	Olympus
Model  	BH-BHM
Microscope Type  	Upright
Microscope Configuration  	Brightfield
Illumination Type  	Reflected Light
Eyepieces  	
  Model  	Olympus WF
  Magnification  	10 X
Trinocular/Phototube Provided  	YES
Multiple Objectives Models  	Olympus M5
Olympus MPlan 10
Olympus M40
Olympus M40Plan
Illumination Power  	    Watts: 100
Power Supply Included  	YES
Camera  	 
  Type  	35mm
  Model  	Pentax MV1
Other Information  	Brightfield Only
Olympus TH 100W Power Supply
Mechanical Stage for up to 6" Wafers
 </t>
  </si>
  <si>
    <t xml:space="preserve">96014</t>
  </si>
  <si>
    <t xml:space="preserve">BH2 MJL73D(�� : 200811-091)</t>
  </si>
  <si>
    <t xml:space="preserve">91538</t>
  </si>
  <si>
    <t xml:space="preserve">BH3-MJLA4-383D</t>
  </si>
  <si>
    <t xml:space="preserve">HIGH POWER SCOPE</t>
  </si>
  <si>
    <t xml:space="preserve">96015</t>
  </si>
  <si>
    <t xml:space="preserve">BH3-MJLA5</t>
  </si>
  <si>
    <t xml:space="preserve">96016</t>
  </si>
  <si>
    <t xml:space="preserve">BH3-MJLA6</t>
  </si>
  <si>
    <t xml:space="preserve">102839</t>
  </si>
  <si>
    <t xml:space="preserve">MX61-L</t>
  </si>
  <si>
    <t xml:space="preserve">Complete and in full working condition.
Wide stage.
Please check the attachments below for more information.</t>
  </si>
  <si>
    <t xml:space="preserve">91539</t>
  </si>
  <si>
    <t xml:space="preserve">MX80 AF-F</t>
  </si>
  <si>
    <t xml:space="preserve">150 / 200 mm</t>
  </si>
  <si>
    <t xml:space="preserve">100040</t>
  </si>
  <si>
    <t xml:space="preserve">OLS3000</t>
  </si>
  <si>
    <t xml:space="preserve">3D Microscope</t>
  </si>
  <si>
    <t xml:space="preserve">91540</t>
  </si>
  <si>
    <t xml:space="preserve">Olympus AL3120F</t>
  </si>
  <si>
    <t xml:space="preserve">MICROSCOPE (ASYST300FL - 2L/P)</t>
  </si>
  <si>
    <t xml:space="preserve">91543</t>
  </si>
  <si>
    <t xml:space="preserve">MICROSCOPE (TAS300(E3) - 3L/P)</t>
  </si>
  <si>
    <t xml:space="preserve">91541</t>
  </si>
  <si>
    <t xml:space="preserve">MICROSCOPE (TAS300(E3)- 2L/P)</t>
  </si>
  <si>
    <t xml:space="preserve">91542</t>
  </si>
  <si>
    <t xml:space="preserve">91544</t>
  </si>
  <si>
    <t xml:space="preserve">Olympus AL3120F-DUV</t>
  </si>
  <si>
    <t xml:space="preserve">MICROSCOPE (TAS300 - 2L/P)</t>
  </si>
  <si>
    <t xml:space="preserve">98970</t>
  </si>
  <si>
    <t xml:space="preserve">91545</t>
  </si>
  <si>
    <t xml:space="preserve">Olympus AL3120F-DUV-EL</t>
  </si>
  <si>
    <t xml:space="preserve">91546</t>
  </si>
  <si>
    <t xml:space="preserve">Olympus AL3130F</t>
  </si>
  <si>
    <t xml:space="preserve">MICROSCOPE (KWF12 - 3L/P)</t>
  </si>
  <si>
    <t xml:space="preserve">91547</t>
  </si>
  <si>
    <t xml:space="preserve">91548</t>
  </si>
  <si>
    <t xml:space="preserve">91549</t>
  </si>
  <si>
    <t xml:space="preserve">91550</t>
  </si>
  <si>
    <t xml:space="preserve">MICROSCOPE (TAS300(E4) - 3L/P)</t>
  </si>
  <si>
    <t xml:space="preserve">91551</t>
  </si>
  <si>
    <t xml:space="preserve">97870</t>
  </si>
  <si>
    <t xml:space="preserve">SZ30</t>
  </si>
  <si>
    <t xml:space="preserve">96017</t>
  </si>
  <si>
    <t xml:space="preserve">SZ4045</t>
  </si>
  <si>
    <t xml:space="preserve">97871</t>
  </si>
  <si>
    <t xml:space="preserve">SZ60</t>
  </si>
  <si>
    <t xml:space="preserve">100041</t>
  </si>
  <si>
    <t xml:space="preserve">SZ60TR-60</t>
  </si>
  <si>
    <t xml:space="preserve">Low Power Scope</t>
  </si>
  <si>
    <t xml:space="preserve">97872</t>
  </si>
  <si>
    <t xml:space="preserve">SZ61</t>
  </si>
  <si>
    <t xml:space="preserve">102560</t>
  </si>
  <si>
    <t xml:space="preserve">Olympus </t>
  </si>
  <si>
    <t xml:space="preserve">AL100-MB8</t>
  </si>
  <si>
    <t xml:space="preserve">wafer auto loader</t>
  </si>
  <si>
    <t xml:space="preserve">102561</t>
  </si>
  <si>
    <t xml:space="preserve">MX51F</t>
  </si>
  <si>
    <t xml:space="preserve">50mm</t>
  </si>
  <si>
    <t xml:space="preserve">100992</t>
  </si>
  <si>
    <t xml:space="preserve">ORIEL</t>
  </si>
  <si>
    <t xml:space="preserve">Antivibration Table</t>
  </si>
  <si>
    <t xml:space="preserve">Isolation Table</t>
  </si>
  <si>
    <t xml:space="preserve">Width x 1,00 m, depth x 0,90 m, height x 0,77 m, weigth about 183 kg
Please check pictures below for more information</t>
  </si>
  <si>
    <t xml:space="preserve">90178</t>
  </si>
  <si>
    <t xml:space="preserve">OSAKA</t>
  </si>
  <si>
    <t xml:space="preserve">TC010MT</t>
  </si>
  <si>
    <t xml:space="preserve">TURBO CONTROLLER</t>
  </si>
  <si>
    <t xml:space="preserve">100042</t>
  </si>
  <si>
    <t xml:space="preserve">OSUNG</t>
  </si>
  <si>
    <t xml:space="preserve">OS_OVN11CL01W</t>
  </si>
  <si>
    <t xml:space="preserve">OVEN</t>
  </si>
  <si>
    <t xml:space="preserve">100043</t>
  </si>
  <si>
    <t xml:space="preserve">98419</t>
  </si>
  <si>
    <t xml:space="preserve">Oxford</t>
  </si>
  <si>
    <t xml:space="preserve">100 Plus</t>
  </si>
  <si>
    <t xml:space="preserve">PECVD Nitride System</t>
  </si>
  <si>
    <t xml:space="preserve">91329</t>
  </si>
  <si>
    <t xml:space="preserve">OXFORD</t>
  </si>
  <si>
    <t xml:space="preserve">800+</t>
  </si>
  <si>
    <t xml:space="preserve">RIE (Reactive Ion Etcher)</t>
  </si>
  <si>
    <t xml:space="preserve">De-installed, warehoused. Can be inspected by appointment.
Please refer to the attached photos for details.
Parallel Plate - Reactor
Plasma Enhanced Chemical Vapour Deposition (PECVD) system is lightly used.
 13 MHz supply with automatic matching
 Frequency mixing 50 - 460 KHz for stress control
 automatic pressure control
 400 °C Aluminium substrate electrode with PID control, 460 mm
 PC Control
 Mass Flow controlled gas lines in a sealable and purgable gas pod
 Roots/ rotary pump
Process: The OPT application lab supports the user of our equipment 
throughout the lifetime of the system with advise and with new processes if 
needed. Typically our systems are capable running a variety of processes 
without the need of hardware changes. New processes are permanently under 
development/ characterisation, so that they can be run on our existing 
equipment.
Quality: OPT is qualified according ISO 9001 since 1995. In 1993 a TQM 
programs was started and the position of a dedicated quality manager was 
created.
Safety: The soft- and hardware is designed to ensure a safe system 
operation even with untrained personal.
Software: All the OPT Systems have dedicated programmable logic controllers 
to ensure a safe operation. The user interface is via a standard PC. OPT 
writes the software in house in close contact with our process engineers to 
ensure maximum flexibility. The software operates under Windows to allow 
easy communication with other software (for evaluation the datalog files or 
network integration etc) and to give the users a familiar environment.</t>
  </si>
  <si>
    <t xml:space="preserve">99401</t>
  </si>
  <si>
    <t xml:space="preserve">Flex AL-II</t>
  </si>
  <si>
    <t xml:space="preserve">ALD system</t>
  </si>
  <si>
    <t xml:space="preserve">In excellent condition . Inspection is available by appointment.
The Oxford Instruments Plasma Technology FlexAL II is an Atomic Layer 
Deposition (ALD) system which grows thin films one atomic layer at a time 
under very precise deposition conditions. It features:-
1.A 240 mm diameter resistance-heated, RF-biased aluminum electrode with 
temperature control to 600 °C
2. For ubstrate sizes up to 6 inches (150 mm).
3. An inductively-coupled plasma (ICP) source for plasma-enhanced ALD, as 
well as the more traditional thermal processes.
4. Six precursor gases to grow a variety of high-purity oxides and 
nitrides.
Applications include:
    Aluminum oxide and nitride deposition
    Silicon dioxide and nitride deposition
    Titanium oxide and nitride deposition
    Hafnium oxide deposition
    Niobium oxide and nitride deposition</t>
  </si>
  <si>
    <t xml:space="preserve">99399</t>
  </si>
  <si>
    <t xml:space="preserve">Micro-dep 300</t>
  </si>
  <si>
    <t xml:space="preserve">PE CVD system (For spares use)</t>
  </si>
  <si>
    <t xml:space="preserve">For spares use. Currently de-installed and warehoused. Inspection is 
available by appointment.</t>
  </si>
  <si>
    <t xml:space="preserve">99398</t>
  </si>
  <si>
    <t xml:space="preserve">Micro-etch 300</t>
  </si>
  <si>
    <t xml:space="preserve">Dry Etcher</t>
  </si>
  <si>
    <t xml:space="preserve">101347</t>
  </si>
  <si>
    <t xml:space="preserve">PlasmaLab 100</t>
  </si>
  <si>
    <t xml:space="preserve">ICP Etcher</t>
  </si>
  <si>
    <t xml:space="preserve">103040</t>
  </si>
  <si>
    <t xml:space="preserve">Plasmalab 800 Plus</t>
  </si>
  <si>
    <t xml:space="preserve">Plasma Enhanced Chemical Vapor Deposition�Automatic pressure control</t>
  </si>
  <si>
    <t xml:space="preserve">Substrate electrode: 460mm with PID controlCan process wafer piecesShower 
head gas inlet optimized for PECVD400� C substrate tableSystem ComputerPC 
control with OPT software under WindowsSystem software controls all aspects 
of machine functionality and control of the process operationProduction 
mode: system will perform the following sequence without any operator 
intervention: chamber pumping, recipe running, chamber ventingProcess 
chamber includes a window panel giving a view on the process tableSystem 
ChillerEdwards IHX 610 Vacuum PumpAdvanced Energy LF-5 RF GeneratorPower: 
208VAC, 3PH, 50/60 HZGas Box with MKS MFCs consisting of:1)� Gas: CF42)� 
Gas: N23)� Gas: N2O4)� Gas: SiH45)� Gas: N26)� Gas: O2�</t>
  </si>
  <si>
    <t xml:space="preserve">100345</t>
  </si>
  <si>
    <t xml:space="preserve">Oxford Instruments</t>
  </si>
  <si>
    <t xml:space="preserve">FlexAL-II</t>
  </si>
  <si>
    <t xml:space="preserve">Atomic Layer Deposition System</t>
  </si>
  <si>
    <t xml:space="preserve">-Tool in great condition. Used for just one year, performing very few runs.
-Chamber was cleaned well, and pumped in vacuum before shutdown.
-Liners were removed, cleaned and packed separately.
-Machine comes with 2 pumps(Process +LL).
-Gas Pod-4 Channels(MFCs),Media Cabinet for 3 Precursors (with option for 
another 3),and one bubbler.</t>
  </si>
  <si>
    <t xml:space="preserve">102760</t>
  </si>
  <si>
    <t xml:space="preserve">Plasmalab 80 Plus</t>
  </si>
  <si>
    <t xml:space="preserve">Dry etcher</t>
  </si>
  <si>
    <t xml:space="preserve">Damage/Missing parts lis tPC show CPU FAN error when boot.PLC connect 
error, maybe need reinstall firmware.PUMP need PM</t>
  </si>
  <si>
    <t xml:space="preserve">103007</t>
  </si>
  <si>
    <t xml:space="preserve">Plasmalab System 100</t>
  </si>
  <si>
    <t xml:space="preserve">PECVD TEOS with Load Lock</t>
  </si>
  <si>
    <t xml:space="preserve">Advanced Energy LF-5--RF Generator Advanced Energy RFX 600A--RF Generator 
Process Gases: CF4 80%, O2 20%--500 SCCM---MKS 1179A Ar 90%, PH3 10%--50 
SCCM---MKS 1479A Ar 90%, GeH4 10%--50 SCCM---MKS 1479A Ar 90%, BeH6 10%--50 
SCCM---MKS 1479A N2 95%, SiH4 5%--1 SLM---MKS 1479A NH3 100%--100 
SCCM---MKS 1479A N2O 100%--3 SLM---MKS 1179A N2O 100%--200 SCCM MKS 1179A 
N2 100%--2 SLM MKS 1179A O2 100%--500 SCCM MKS 1179A</t>
  </si>
  <si>
    <t xml:space="preserve">102579</t>
  </si>
  <si>
    <t xml:space="preserve">X-Strata 980</t>
  </si>
  <si>
    <t xml:space="preserve">XRF Coating thickness and element analyzer</t>
  </si>
  <si>
    <t xml:space="preserve">Please check Pictures below for more information</t>
  </si>
  <si>
    <t xml:space="preserve">102528</t>
  </si>
  <si>
    <t xml:space="preserve">OYO</t>
  </si>
  <si>
    <t xml:space="preserve">AITOS ATS1000</t>
  </si>
  <si>
    <t xml:space="preserve">100044</t>
  </si>
  <si>
    <t xml:space="preserve">Panalytical</t>
  </si>
  <si>
    <t xml:space="preserve">X-PERT</t>
  </si>
  <si>
    <t xml:space="preserve">X-RAY DIFFRACTOMETER</t>
  </si>
  <si>
    <t xml:space="preserve">Spares /parts tool only
Deinstalled, Warehoused and can be inspected by appointment in the 
warehouse.</t>
  </si>
  <si>
    <t xml:space="preserve">102975</t>
  </si>
  <si>
    <t xml:space="preserve">PANASONIC</t>
  </si>
  <si>
    <t xml:space="preserve">FCB3</t>
  </si>
  <si>
    <t xml:space="preserve">87650</t>
  </si>
  <si>
    <t xml:space="preserve">Panasonic</t>
  </si>
  <si>
    <t xml:space="preserve">Flip-Chip Bonder</t>
  </si>
  <si>
    <t xml:space="preserve">90240</t>
  </si>
  <si>
    <t xml:space="preserve">Pasan</t>
  </si>
  <si>
    <t xml:space="preserve">--</t>
  </si>
  <si>
    <t xml:space="preserve">Cell Tester for concentrator solar cells</t>
  </si>
  <si>
    <t xml:space="preserve">-SEE ATTACHED PHOTOS FOR CONDITION
-INSPECTION AVAILABLE BY APPOINTMENT
-Located in Europe.
-Cell tester for concentrator solar cells at AM1.5, up to 1000 suns (PASAN)
 </t>
  </si>
  <si>
    <t xml:space="preserve">88132</t>
  </si>
  <si>
    <t xml:space="preserve">PEARL</t>
  </si>
  <si>
    <t xml:space="preserve">GEN  80-19</t>
  </si>
  <si>
    <t xml:space="preserve">88133</t>
  </si>
  <si>
    <t xml:space="preserve">M-30A2S-V</t>
  </si>
  <si>
    <t xml:space="preserve">88134</t>
  </si>
  <si>
    <t xml:space="preserve">RP-3000-100MK-PS</t>
  </si>
  <si>
    <t xml:space="preserve">88135</t>
  </si>
  <si>
    <t xml:space="preserve">RP-8000-2M</t>
  </si>
  <si>
    <t xml:space="preserve">88136</t>
  </si>
  <si>
    <t xml:space="preserve">ZDK-926-100M</t>
  </si>
  <si>
    <t xml:space="preserve">90179</t>
  </si>
  <si>
    <t xml:space="preserve">PFEIFFER</t>
  </si>
  <si>
    <t xml:space="preserve">TC600</t>
  </si>
  <si>
    <t xml:space="preserve">101671</t>
  </si>
  <si>
    <t xml:space="preserve">TCP600</t>
  </si>
  <si>
    <t xml:space="preserve">Turbo Molecular Vacuum Pump Controller</t>
  </si>
  <si>
    <t xml:space="preserve">97003</t>
  </si>
  <si>
    <t xml:space="preserve">Philips</t>
  </si>
  <si>
    <t xml:space="preserve">PHI 680</t>
  </si>
  <si>
    <t xml:space="preserve">Auger Nanoprobe</t>
  </si>
  <si>
    <t xml:space="preserve">De-installed and warehoused. Can be inspected by appointment. In Asia 
region.
The PHI 680 system is made up of a field-emission scanning electron 
microscope with a Schottky emission cathode, a secondary electron detector, 
and an axial cylindrical mirror analyzer with a multi-channel detector to 
collect Auger electrons produced during electron imaging. Very small spot 
sizes can be realized with this instrument, down to 7 nm. This is useful 
for high-resolution imaging and for Auger data acquisition using low beam 
currents. Inert gas sputtering is used to clean surface contamination from 
samples and to remove material from a small area on the surface for depth 
profiling. Several modes of operation are available to the user, including 
survey, line, profile, and elemental mapping.</t>
  </si>
  <si>
    <t xml:space="preserve">103115</t>
  </si>
  <si>
    <t xml:space="preserve">PW2830</t>
  </si>
  <si>
    <r>
      <rPr>
        <sz val="8"/>
        <rFont val="Arial"/>
        <family val="0"/>
        <charset val="1"/>
      </rPr>
      <t xml:space="preserve">Equipment configuration </t>
    </r>
    <r>
      <rPr>
        <sz val="8"/>
        <rFont val="Noto Sans CJK SC"/>
        <family val="2"/>
        <charset val="1"/>
      </rPr>
      <t xml:space="preserve">：</t>
    </r>
    <r>
      <rPr>
        <sz val="8"/>
        <rFont val="Arial"/>
        <family val="0"/>
        <charset val="1"/>
      </rPr>
      <t xml:space="preserve">Brooks Fixload loadport*2, &amp; EFEM*1 &amp; Inspection 
unit*1 The equipment already NS OFF. ﻿Damaged parts: 1.XRAY Tube 2.XRAY 
Generator 3.NiPt Detector 4.P% detector</t>
    </r>
  </si>
  <si>
    <t xml:space="preserve">103116</t>
  </si>
  <si>
    <r>
      <rPr>
        <sz val="8"/>
        <rFont val="Arial"/>
        <family val="0"/>
        <charset val="1"/>
      </rPr>
      <t xml:space="preserve">The equipment has been cold down. Equipment configuration </t>
    </r>
    <r>
      <rPr>
        <sz val="8"/>
        <rFont val="Noto Sans CJK SC"/>
        <family val="2"/>
        <charset val="1"/>
      </rPr>
      <t xml:space="preserve">：</t>
    </r>
    <r>
      <rPr>
        <sz val="8"/>
        <rFont val="Arial"/>
        <family val="0"/>
        <charset val="1"/>
      </rPr>
      <t xml:space="preserve">Brooks Fixload 
loadport*2 &amp; EFEM*1 &amp; Inspection unit*1. The equipment has missing parts as 
below: 1.Notch Aligner Assy The equipment has damaged parts as below, 
1.XRAY Tube 2.XRAY Generator 3.NiPt Detector 4.Ta Detector 5.Ti Detector 
6.W detector 7.P% detector 8. Co Detector 9.Turbo Pump 10.Turbo pump 
controller 11.MPD Pump</t>
    </r>
  </si>
  <si>
    <t xml:space="preserve">96018</t>
  </si>
  <si>
    <t xml:space="preserve">PHILIPS </t>
  </si>
  <si>
    <t xml:space="preserve">PHI-680</t>
  </si>
  <si>
    <t xml:space="preserve">AES</t>
  </si>
  <si>
    <t xml:space="preserve">102338</t>
  </si>
  <si>
    <t xml:space="preserve">Phoenix</t>
  </si>
  <si>
    <t xml:space="preserve">micromex 160</t>
  </si>
  <si>
    <t xml:space="preserve">X-Ray inspection system</t>
  </si>
  <si>
    <t xml:space="preserve">-</t>
  </si>
  <si>
    <t xml:space="preserve">102339</t>
  </si>
  <si>
    <t xml:space="preserve">Micromex SE 160T</t>
  </si>
  <si>
    <t xml:space="preserve">86340</t>
  </si>
  <si>
    <t xml:space="preserve">PHOENIX</t>
  </si>
  <si>
    <t xml:space="preserve">NANOMEX 160 NF</t>
  </si>
  <si>
    <t xml:space="preserve">X-RAY INSPECTION SYSTEM</t>
  </si>
  <si>
    <t xml:space="preserve">Deinstalled, warehoused. Can be inspected by appointment. Price: Please 
make best offer.
Has a CE mark
Configuration:-
1. Xray tube 160 kV XS160NF20F-103906
2. Xray control unit ANA06F0000-103906
3. Robot system ANA02D0000-103906
4. Image intensifier 6F202
5. Camera 60399
6. Digital detector 1239
7. TFT display HU-OP0359-466359-46633-62K-01TL
8. Trackman LZ602AQ
9. KBD
10. Turbo pump
11. Measuring gauge
12 Pre vacuum pump
13. Turbotronik
14. System PC
15. High tension genertor FRIE00001-14906
16. High tension cable lot 1100KKEJ00350 WO18288-4
17. spares kit ANA80D0000-103906
18. RECONTRUCTION pc
19.RECONTRUCTION tft 20 INCH
20. RECONSTRUCTION KBD, MOUSE
CUSTOMS TARRIF NUMBER: 90221900</t>
  </si>
  <si>
    <t xml:space="preserve">100648</t>
  </si>
  <si>
    <t xml:space="preserve">X-Ray</t>
  </si>
  <si>
    <t xml:space="preserve">100649</t>
  </si>
  <si>
    <t xml:space="preserve">X-Ray PBGA</t>
  </si>
  <si>
    <t xml:space="preserve">Inspection System for PCBs</t>
  </si>
  <si>
    <t xml:space="preserve">The system has been de-installed, and is currently in an inspection 
facility. Please refer to the attached photos for details.
The equipment is in full working order, as shown in the photos.</t>
  </si>
  <si>
    <t xml:space="preserve">98420</t>
  </si>
  <si>
    <t xml:space="preserve">Plasma Therm</t>
  </si>
  <si>
    <t xml:space="preserve">790</t>
  </si>
  <si>
    <t xml:space="preserve">PE CVD System</t>
  </si>
  <si>
    <t xml:space="preserve">150/200 mm</t>
  </si>
  <si>
    <t xml:space="preserve">101631</t>
  </si>
  <si>
    <t xml:space="preserve">PLASMA THERM</t>
  </si>
  <si>
    <t xml:space="preserve">GEN4 MASK IV</t>
  </si>
  <si>
    <t xml:space="preserve">DRY ETCHER FOR PHOTOMASKS</t>
  </si>
  <si>
    <t xml:space="preserve">Mask</t>
  </si>
  <si>
    <t xml:space="preserve">103009</t>
  </si>
  <si>
    <t xml:space="preserve">Plasma-Therm</t>
  </si>
  <si>
    <t xml:space="preserve">73/74</t>
  </si>
  <si>
    <t xml:space="preserve">PECVD, Plasma Etch, Reactive Ion Etch</t>
  </si>
  <si>
    <t xml:space="preserve">Number of Gas Inputs: 8 Gases. System Features: RF Plasma RF-5 generator 
MKS Type 252A exhaust valve controller Watlow Series 808 electric heater 
control RF Plasma AM-5 Automatching network (700) Leybold WSU251/D65BCS 
roots pumping system Tek-Temp TKD100/4000 chiller Brooks 5850E Mass Flow 
Controllers: Etch: N2(100 sccm),CHF3(200 sccm), Cl2(100 sccm), BCl3(100 
sccm) Dep: N2(2000 sccm),N2(2000 sccm),N2(2000 sccm), NH3(sccm)</t>
  </si>
  <si>
    <t xml:space="preserve">103010</t>
  </si>
  <si>
    <t xml:space="preserve">790 ICP</t>
  </si>
  <si>
    <t xml:space="preserve">Inductively Coupled Plasma Etcher with 9.5 Inch Electrode</t>
  </si>
  <si>
    <t xml:space="preserve">Number of Gases: 3 The top coil is supplied 2 MHz RF at 1000 watt max. RFPP 
Model RF20M The bottom electrode is supplied 13.56 MHz RF at 500 Watts. 
RFPP Model RF5S</t>
  </si>
  <si>
    <t xml:space="preserve">103011</t>
  </si>
  <si>
    <t xml:space="preserve">Unaxis 790</t>
  </si>
  <si>
    <t xml:space="preserve">ICP Plasma Etching System</t>
  </si>
  <si>
    <t xml:space="preserve">Number of Gas Inputs: 8</t>
  </si>
  <si>
    <t xml:space="preserve">103008</t>
  </si>
  <si>
    <t xml:space="preserve">VII 734MF</t>
  </si>
  <si>
    <t xml:space="preserve">RIE/Plasma Etch</t>
  </si>
  <si>
    <t xml:space="preserve">Controller Type: Microprocessor Controller Type High Vacuum Pump: Alcatel 
Turbomolecular Pump 5402CP Process Gases: C2H4, N2O, CF4, Ar ,H2</t>
  </si>
  <si>
    <t xml:space="preserve">103012</t>
  </si>
  <si>
    <t xml:space="preserve">VLR 700 VLR-PM1-ICRB-PM</t>
  </si>
  <si>
    <t xml:space="preserve">Single Chamber PECVD</t>
  </si>
  <si>
    <t xml:space="preserve">Mixed Frequency Deposition (MFD) Both High Frequency (13.56 MHz) and Low 
Frequency (50-460 kHz) RF power delivered both electrodes. Process 
Capabilities: Nitride Depostion Chamber 1 Description 13.5" Electrode Gas 
Delivery Six Channel; (2)2000 sccm, (2)1000 sccm, (1)200 sccm, (1)20 sccm</t>
  </si>
  <si>
    <t xml:space="preserve">88137</t>
  </si>
  <si>
    <t xml:space="preserve">PLASMART</t>
  </si>
  <si>
    <t xml:space="preserve">PF05100-3B36S</t>
  </si>
  <si>
    <t xml:space="preserve">88138</t>
  </si>
  <si>
    <t xml:space="preserve">PFDUAL-6B36A</t>
  </si>
  <si>
    <t xml:space="preserve">99403</t>
  </si>
  <si>
    <t xml:space="preserve">PlasmaTherm</t>
  </si>
  <si>
    <t xml:space="preserve">SLR 740</t>
  </si>
  <si>
    <t xml:space="preserve">Dual Chamber RIE / Plasma etch</t>
  </si>
  <si>
    <t xml:space="preserve">The LH Chamber is Standard, the RH chamber is also RIE  , but with 
adjustable top electrode gap. (similar to old ECR config.)
Both chambers can work also as PE (Plasma Etch-Top power). RIE or PE is 
switched by software.
One Chamber has a Low pressure feature with TMP .the other one has no 
TMP,i.e just working med. Vacuum process using the rough pump (but has an 
option for adding TMP).
Each chamber has 8 Gas Channels (with 8 MFCs each).see attached XLS file.
  System is configured for European power rating, i.e 3 phase 400v.
   The system is currently  up and running  so is in fair condition. (see 
photos)
The equipment will include : 1 Chiller, 1 Process Rough Pump ,1 LoadLock 
pump (oil).
MFC CONFIGURATION:-
CHAMBER LEFT 	  	GAS NAME 	MFC FULL SCALE 	UNITS 	MFC TYPE 	  	CHAMBER 
RIGHT 	  	GAS NAME 	MFC FULL SCALE 	UNITS 	MFC TYPE
  	  	AR 	100 	SCCM 	MKS 1479A 	  	  	  	CF-41 	100 	SCCM 	MKS 1479A
  	  	CHF3 	100 	SCCM 	MKS 1479A 	  	  	  	SF6 	50 	SCCM 	MKS 1479A
  	  	C2F6 	100 	SCCM 	MKS 1479A 	  	  	  	HE 	100 	SCCM 	MKS 1479A
  	  	CF41 	100 	SCCM 	MKS 1479A 	  	  	  	CHF3 	100 	SCCM 	MKS 1479A
  	  	SF6 	50 	SCCM 	MKS 1479A 	  	  	  	C2F6 	100 	SCCM 	MKS 1479A
  	  	HE 	100 	SCCM 	MKS 1479A 	  	  	  	O2 	10 	SCCM 	MKS 1479A
  	  	O2 	10 	SCCM 	MKS 1479A 	  	  	  	O2 	100 	SCCM 	MKS 1479A
  	  	O2 	100 	SCCM 	MKS 1479A 	  	  	  	AR 	100 	SCCM 	MKS 1479A
 </t>
  </si>
  <si>
    <t xml:space="preserve">99429</t>
  </si>
  <si>
    <t xml:space="preserve">Plasmos</t>
  </si>
  <si>
    <t xml:space="preserve">SD 2004</t>
  </si>
  <si>
    <t xml:space="preserve">Multi-Wavelength Ellipsometer</t>
  </si>
  <si>
    <t xml:space="preserve">Illumination Source Type  	Multi-wavelength Source
Multi-Layer Film Capacity  	YES
Micro Spot Optics  	YES
Scanning Stage  	YES
Wafer Mapping  	YES
Controller Type  	PC/VME
Condition  	Very Good
 </t>
  </si>
  <si>
    <t xml:space="preserve">91869</t>
  </si>
  <si>
    <t xml:space="preserve">PLASMOS</t>
  </si>
  <si>
    <t xml:space="preserve">SD2000</t>
  </si>
  <si>
    <t xml:space="preserve">Automatic Ellipsometer</t>
  </si>
  <si>
    <t xml:space="preserve">Illumination Source Type  	HeNe Laser
Scanning Stage  	YES
Wafer Mapping  	YES
Controller Type  	PC/VME
Condition  	Good
 </t>
  </si>
  <si>
    <t xml:space="preserve">96019</t>
  </si>
  <si>
    <t xml:space="preserve">PMS</t>
  </si>
  <si>
    <t xml:space="preserve">AIRSENTRY-IMS</t>
  </si>
  <si>
    <t xml:space="preserve">GAS ANALYZER</t>
  </si>
  <si>
    <t xml:space="preserve">98861</t>
  </si>
  <si>
    <t xml:space="preserve">PolyFlow</t>
  </si>
  <si>
    <t xml:space="preserve">Triple Tower II S-417</t>
  </si>
  <si>
    <t xml:space="preserve">Quartz Cleaner</t>
  </si>
  <si>
    <t xml:space="preserve">Deinstalled. Warehoused. Can be inspected by appointment.
This PolyFlow System can be offered fully refurbished incl. PLC System 
controller (Siemens S7)</t>
  </si>
  <si>
    <t xml:space="preserve">101684</t>
  </si>
  <si>
    <t xml:space="preserve">Probilt </t>
  </si>
  <si>
    <t xml:space="preserve">PB6800</t>
  </si>
  <si>
    <t xml:space="preserve">98038</t>
  </si>
  <si>
    <t xml:space="preserve">PSK</t>
  </si>
  <si>
    <t xml:space="preserve">DAS 2000</t>
  </si>
  <si>
    <t xml:space="preserve">98039</t>
  </si>
  <si>
    <t xml:space="preserve">102761</t>
  </si>
  <si>
    <t xml:space="preserve">Supra IV</t>
  </si>
  <si>
    <t xml:space="preserve">Installed - In Production Main BodyLoad Port: Qty 3 Fixed BufferSystem wide 
corrosion free: Yes(SUS304)Wafer Breakage Detection: LCD Monitor: 
VX1500M-TSystem ControllerCPU: Intel Pentium 4Hard disk: 80GB 
(Reference)1st data back-up: 3.5" FDD2nd data back-up: CD-RWOperation 
Monitor: 15" LCDSignal Tower: PSK 4 color Dual Polemount TypeR.C.S(Remote 
Control System): PSKUtilityMain Power: 3ψ 208VAC 60HZ 250AUPS Power: 1ψ 
208VAC 60HZ 63APower Vaccine: 1secElectric &amp; signal cable Length: 20MUPS 
Battery: YESCircuit Break Type: MCCB TypeWater Manifold valve: Shut off 
v/vAll Utility Feed Direction: Bottom-up feedTransfer moduleTM ROBOT Body: 
SANKYO SR8232-0003AARTM ROBOT Controller: SANKYO SC3150TM ROBOT Power 
boxEFEM ROBOT: SANKYO SR8240-0001AASChamber 1APC valve: MKS 653B-4-100-2APC 
Controller: MKS 651C-26831Baratron Sensor: MKS 626A02TBEPressure Transducer 
(pirani): MKS 750B13TCD2GGEPD Controller: NANOTEK NEFL-309SHeater Module: 
WATLOW PICP: 5284-3930020-C-SGenerator: MKS AX7690PSK-04Gas Box: FUJIKIN 
IGS TypePressure Control: Throttle ValveChamber 1 process gas lineGAS 
#1(O2): 10slm AERA TCFC-PA786CT-BFGAS #2(N2): 3slm AERA TCFC-PA786CT-BFGAS 
#4(NH3): 5slm AERA TCFC-PA786CT-BFGAS #4(H2N2): 5slm AERA 
TCFC-PA786CT-BFPurity: 10RAMFC Signal: DigitalGas Line Polishing: 
Electrical PolishedRegulator Air Operated Valve: FujikinFilter: 
MilliporePressure Transducer: Tem TechChamber 2APC valve: MKS 
653B-4-100-2APC Controller: MKS 651C-26831Baratron Sensor: MKS 
626A02TBEPressure Transducer (pirani): MKS 750B13TCD2GGEPD Controller: 
NANOTEK NEFL-309SHeater Module: WATLOW PCIP: 5284-3930020-C-SGenerator: MKS 
AX7690PSK-04Gas Box: FUJIKIN IGS TypePressure Control: Throttle 
ValveChamber 2 process gas lineGAS #1(O2): 10slm AERA TCFC-PA786CT-BFGAS 
#2(N2): 3slm AERA TCFC-PA786CT-BFGAS #4(NH3): 5slm AERA TCFC-PA786CT-BFGAS 
#4(H2N2): 5slm AERA TCFC-PA786CT-BFPurity: 10RAMFC Signal: DigitalGas Line 
Polishing: Electrical PolishedRegulatorAir Operated Valve: Fujikin Filter: 
Millipore Pressure Transducer: Tem Tech </t>
  </si>
  <si>
    <t xml:space="preserve">98833</t>
  </si>
  <si>
    <t xml:space="preserve">SUPRA3</t>
  </si>
  <si>
    <t xml:space="preserve">Asher Dry Strip</t>
  </si>
  <si>
    <t xml:space="preserve">102340</t>
  </si>
  <si>
    <t xml:space="preserve">Tera 21</t>
  </si>
  <si>
    <t xml:space="preserve">102344</t>
  </si>
  <si>
    <t xml:space="preserve">99913</t>
  </si>
  <si>
    <t xml:space="preserve">TERA21</t>
  </si>
  <si>
    <t xml:space="preserve">99914</t>
  </si>
  <si>
    <t xml:space="preserve">94477</t>
  </si>
  <si>
    <t xml:space="preserve">Asher </t>
  </si>
  <si>
    <t xml:space="preserve">100927</t>
  </si>
  <si>
    <t xml:space="preserve">98424</t>
  </si>
  <si>
    <t xml:space="preserve">Quantronix</t>
  </si>
  <si>
    <t xml:space="preserve">DRS 820</t>
  </si>
  <si>
    <t xml:space="preserve">103013</t>
  </si>
  <si>
    <t xml:space="preserve">Quintel</t>
  </si>
  <si>
    <t xml:space="preserve">UL 7000 IR</t>
  </si>
  <si>
    <t xml:space="preserve">Illuminator Model Number: Q-500 Illuminator Power Rating: 500 Watts 
External Cooling: Air Cooled Other Information: Split field video with 
MPLAN APO 5X objectives Print Modes: Vacuum Pressure Proximity Vacuum 
calibration Pressure calibration</t>
  </si>
  <si>
    <t xml:space="preserve">98489</t>
  </si>
  <si>
    <t xml:space="preserve">Raytex</t>
  </si>
  <si>
    <t xml:space="preserve">RXW-0826SFIX-SMIF</t>
  </si>
  <si>
    <t xml:space="preserve">edge scanner</t>
  </si>
  <si>
    <t xml:space="preserve">56853</t>
  </si>
  <si>
    <t xml:space="preserve">RECIF</t>
  </si>
  <si>
    <t xml:space="preserve">IDLW8R</t>
  </si>
  <si>
    <t xml:space="preserve">Wafer ID Reader - Tabletop for 200mm Wafers</t>
  </si>
  <si>
    <t xml:space="preserve">2ea Available
Manufacturer  	RECIF
Model  	IDLW8R
Description  	Wafer ID Reader
Other Information  	
    * Contact Free Scribe Reading
    * On Board Wafer Alignment
    * CCD Camera and Illumination
    * Optical Character Recognition (OCR) Software
    * Compatible with all SEMI Standard Cassettes
Power Requirements  	110 V     50/60 Hz</t>
  </si>
  <si>
    <t xml:space="preserve">95951</t>
  </si>
  <si>
    <t xml:space="preserve">SPP300</t>
  </si>
  <si>
    <t xml:space="preserve">300mm Wafer Sorter</t>
  </si>
  <si>
    <t xml:space="preserve">-STILL INSTALLED
-SEE ATTACHED PHOTOS FOR DETAILS.</t>
  </si>
  <si>
    <t xml:space="preserve">87519</t>
  </si>
  <si>
    <t xml:space="preserve">SPP8</t>
  </si>
  <si>
    <t xml:space="preserve">Wafer Transfer for 200mm Wafers</t>
  </si>
  <si>
    <t xml:space="preserve">103170</t>
  </si>
  <si>
    <t xml:space="preserve">RENA </t>
  </si>
  <si>
    <t xml:space="preserve">Electroplating </t>
  </si>
  <si>
    <t xml:space="preserve">Electroplating Wet Bench, manual wafer loading, currently configured for 6" 
wafers (8" wafer capable)</t>
  </si>
  <si>
    <t xml:space="preserve">101827</t>
  </si>
  <si>
    <t xml:space="preserve">Research Devices Automation</t>
  </si>
  <si>
    <t xml:space="preserve">M-9A</t>
  </si>
  <si>
    <t xml:space="preserve">Flip Chip Die Bonder</t>
  </si>
  <si>
    <t xml:space="preserve">as is fob</t>
  </si>
  <si>
    <t xml:space="preserve">SEE ATTACHED PHOTOS FOR DETAILS OF THE PERFORMANCE AND CONDITION OF THIS 
ITEM OF EQUIPMENT</t>
  </si>
  <si>
    <t xml:space="preserve">102378</t>
  </si>
  <si>
    <t xml:space="preserve">Revera</t>
  </si>
  <si>
    <t xml:space="preserve">RVX5000</t>
  </si>
  <si>
    <t xml:space="preserve">X-Ray Photo-electron Spectroscopy (XPS)</t>
  </si>
  <si>
    <t xml:space="preserve">102347</t>
  </si>
  <si>
    <t xml:space="preserve">Rigaku</t>
  </si>
  <si>
    <t xml:space="preserve">3272</t>
  </si>
  <si>
    <t xml:space="preserve">TXRF (X-Ray Fluorescence)</t>
  </si>
  <si>
    <t xml:space="preserve">35595</t>
  </si>
  <si>
    <t xml:space="preserve">RIGAKU</t>
  </si>
  <si>
    <t xml:space="preserve">3630 (For spares use)</t>
  </si>
  <si>
    <t xml:space="preserve">Xray Fluorescence Wafer/Disk Analyzer, Missing Xray Tube</t>
  </si>
  <si>
    <t xml:space="preserve">99430</t>
  </si>
  <si>
    <t xml:space="preserve">3640</t>
  </si>
  <si>
    <t xml:space="preserve">X-Ray Fluorescence Wafer/Disk Analyzer</t>
  </si>
  <si>
    <t xml:space="preserve">This offer includes an entire additional unit excluding tHV XFMR and heat 
exchanger.
The configuration is available upon request.</t>
  </si>
  <si>
    <t xml:space="preserve">83519</t>
  </si>
  <si>
    <t xml:space="preserve">X-ray fluoresence wafer / disk analyzer</t>
  </si>
  <si>
    <t xml:space="preserve">     ·    Channels Include: B, P, Si, Pt, N, Al, Ti, Cu, W &amp; Scanning
     Channel
     ·    Toshiba Analix AFX-87L-Rh X-Ray Tube
        ·    Rhenium Target Material
        ·    Input Voltage: 75kV
        ·    Input Power: 4kW
     ·    High Voltage Transformer – Model 6703-9002CS
     ·    Heat Exchanger
     ·    MECS UTX 1000 3 Axis Robot
      ·    Includes Stainless Steel Robot Alignment Fixtures
     ·    MECS TTX 1000 Robot Controller
      ·    Includes 2ea MECS CS-1000 Control Systems (Onboard &amp; Remote)
     ·    MECS OF250 Wafer Orienter with Controller
     ·    MKS Type 250 Controller
     ·    MKS Type 113 Power Supply Readout
     ·    MKS Model 627 Baratron Head
     ·    Edwards iL70 Dry Vacuum Pump
     ·    System Control PC</t>
  </si>
  <si>
    <t xml:space="preserve">92691</t>
  </si>
  <si>
    <t xml:space="preserve">MFM65</t>
  </si>
  <si>
    <t xml:space="preserve">In-Line Energy Dispersive X-Ray Fluoresence Wafer Inspection System</t>
  </si>
  <si>
    <t xml:space="preserve">Excellent condition: de-installed, warehoused. Can be inspected by 
appointment.
See attached photos for details of the current condition of the equipment.
Rigaku MFM 65 small spot Energy Dispersive X-ray Fluorescence measurement 
system.
-Can perform measurements by XRR and XRF
 </t>
  </si>
  <si>
    <t xml:space="preserve">102348</t>
  </si>
  <si>
    <t xml:space="preserve">SYS3630</t>
  </si>
  <si>
    <t xml:space="preserve">XRF (X-Ray Fluorescence)</t>
  </si>
  <si>
    <t xml:space="preserve">102349</t>
  </si>
  <si>
    <t xml:space="preserve">XRF (X-Ray Fluorescence) – For spares use</t>
  </si>
  <si>
    <t xml:space="preserve">102350</t>
  </si>
  <si>
    <t xml:space="preserve">TXRF3750</t>
  </si>
  <si>
    <t xml:space="preserve">101802</t>
  </si>
  <si>
    <t xml:space="preserve">Rigaku </t>
  </si>
  <si>
    <t xml:space="preserve">XRF3640</t>
  </si>
  <si>
    <t xml:space="preserve">Metal thickness measurement</t>
  </si>
  <si>
    <t xml:space="preserve">102351</t>
  </si>
  <si>
    <t xml:space="preserve">RION</t>
  </si>
  <si>
    <t xml:space="preserve">KS-40AF</t>
  </si>
  <si>
    <t xml:space="preserve">Particle Measurement</t>
  </si>
  <si>
    <t xml:space="preserve">102353</t>
  </si>
  <si>
    <t xml:space="preserve">RORZE</t>
  </si>
  <si>
    <t xml:space="preserve">B2-BL-R</t>
  </si>
  <si>
    <t xml:space="preserve">102562</t>
  </si>
  <si>
    <t xml:space="preserve">Rorze</t>
  </si>
  <si>
    <t xml:space="preserve">RR700L150-Z30-01</t>
  </si>
  <si>
    <t xml:space="preserve">Single arm AMAT Mirra Mesa  CMP SMIF robot</t>
  </si>
  <si>
    <t xml:space="preserve">98490</t>
  </si>
  <si>
    <t xml:space="preserve">RR701L1521-3A3-111-2</t>
  </si>
  <si>
    <t xml:space="preserve">98491</t>
  </si>
  <si>
    <t xml:space="preserve">RR701L90-Z20-616</t>
  </si>
  <si>
    <t xml:space="preserve">98492</t>
  </si>
  <si>
    <t xml:space="preserve">RR713L1521-3A3-E13-1</t>
  </si>
  <si>
    <t xml:space="preserve">101672</t>
  </si>
  <si>
    <t xml:space="preserve">RR721L202H-H30-1GA-1</t>
  </si>
  <si>
    <t xml:space="preserve">Dual-Arm Robot</t>
  </si>
  <si>
    <t xml:space="preserve">91574</t>
  </si>
  <si>
    <t xml:space="preserve">RSC242</t>
  </si>
  <si>
    <t xml:space="preserve">Wafer Sorter / 4Foup type</t>
  </si>
  <si>
    <t xml:space="preserve">De-installed, warehoused. Can be inspected by appointment.
See attached photos for details.
Cleanliness: &lt;0.01@0.12µ
Reliability: MTBF&gt;1,500hr. with maintenance-free robot
Accuracy (Repeatable data X/Y: +/-0.036mm 3σ)
Product features
Consist of high speed with minimum space, vibration and noise.
SEMI M12, T7 and M1.15 compliant.
It can read on both sides of the wafer. (Top and Reverse side)
A combination of optical and image processing provides a high resolution 
for ID recognition.
Cleanliness is achieved through the usage of Ferro-fluid seal and a fully 
enclosed drum cover.
Based on the visible airflow analysis, a pressure separation plate was 
installed to aid in decreasing particle generation within the transfer 
area. (Not applicable to all models)
By using a dual arm robot, wafer exchange on the process stage can take 
place simultaneously.</t>
  </si>
  <si>
    <t xml:space="preserve">91575</t>
  </si>
  <si>
    <t xml:space="preserve">102354</t>
  </si>
  <si>
    <t xml:space="preserve">RSR160</t>
  </si>
  <si>
    <t xml:space="preserve">Reticle Handler</t>
  </si>
  <si>
    <t xml:space="preserve">103139</t>
  </si>
  <si>
    <t xml:space="preserve">Wafer sorter for 300 mm wafers</t>
  </si>
  <si>
    <t xml:space="preserve">102485</t>
  </si>
  <si>
    <t xml:space="preserve">Roth &amp; Rau</t>
  </si>
  <si>
    <t xml:space="preserve">SiNA</t>
  </si>
  <si>
    <t xml:space="preserve">PECVD System</t>
  </si>
  <si>
    <t xml:space="preserve">The modular In-line plasma process systems for anti-reflection coating of 
crystalline solar cells.
SiNA® deposition system consists of one processing module and appropriate 
buffer modules. SiNA® is used to generate a 100 nm Silicon-Nitride layer on 
the front side of the wafer and can be integrated into various PERx 
production processes.
Specific data:
Maximum Capacity [Wafer/h] 2400
Throughput [Wafer/h] 2.400
Uptime [%] 93
Breakage rate [%] 0,10
MTBF [hour] 430
MTTR [hour] 2,6
Wafer orientation [-] Sunny side UP
Noise level [dB] 75
Cycle time [s/part] 67,00
Full configuration and specification available upon request.
Equipment stored in warehouse.
Please check pictures below from more information.</t>
  </si>
  <si>
    <t xml:space="preserve">102355</t>
  </si>
  <si>
    <t xml:space="preserve">Rudolph</t>
  </si>
  <si>
    <t xml:space="preserve">3Di8500</t>
  </si>
  <si>
    <t xml:space="preserve">Wafer Inspection</t>
  </si>
  <si>
    <t xml:space="preserve">101348</t>
  </si>
  <si>
    <t xml:space="preserve">Auto EL </t>
  </si>
  <si>
    <t xml:space="preserve">Elipsometer</t>
  </si>
  <si>
    <t xml:space="preserve">101803</t>
  </si>
  <si>
    <t xml:space="preserve">AXI-935</t>
  </si>
  <si>
    <t xml:space="preserve">Macro Defect Inspection System</t>
  </si>
  <si>
    <t xml:space="preserve">102356</t>
  </si>
  <si>
    <t xml:space="preserve">Axi-S</t>
  </si>
  <si>
    <t xml:space="preserve">Macro inspection</t>
  </si>
  <si>
    <t xml:space="preserve">100928</t>
  </si>
  <si>
    <t xml:space="preserve">RUDOLPH</t>
  </si>
  <si>
    <t xml:space="preserve">AXI-S</t>
  </si>
  <si>
    <t xml:space="preserve">Macro Inspection System</t>
  </si>
  <si>
    <t xml:space="preserve">98835</t>
  </si>
  <si>
    <t xml:space="preserve">Macro Wafer Inspection</t>
  </si>
  <si>
    <t xml:space="preserve">101349</t>
  </si>
  <si>
    <t xml:space="preserve">FE III</t>
  </si>
  <si>
    <t xml:space="preserve">94478</t>
  </si>
  <si>
    <t xml:space="preserve">FE-3</t>
  </si>
  <si>
    <t xml:space="preserve">Focus Ellipsometer </t>
  </si>
  <si>
    <t xml:space="preserve">94479</t>
  </si>
  <si>
    <t xml:space="preserve">FE-4D</t>
  </si>
  <si>
    <t xml:space="preserve">100929</t>
  </si>
  <si>
    <t xml:space="preserve">FE-7</t>
  </si>
  <si>
    <t xml:space="preserve">Ellipsometer </t>
  </si>
  <si>
    <t xml:space="preserve">101804</t>
  </si>
  <si>
    <t xml:space="preserve">FE-Ⅳ</t>
  </si>
  <si>
    <t xml:space="preserve">Thickness Measurement</t>
  </si>
  <si>
    <t xml:space="preserve">101805</t>
  </si>
  <si>
    <t xml:space="preserve">FE-Ⅶ</t>
  </si>
  <si>
    <t xml:space="preserve">91563</t>
  </si>
  <si>
    <t xml:space="preserve">Meta Pulse </t>
  </si>
  <si>
    <t xml:space="preserve">Film Metrology</t>
  </si>
  <si>
    <t xml:space="preserve">91564</t>
  </si>
  <si>
    <t xml:space="preserve">Meta Pulse 200</t>
  </si>
  <si>
    <t xml:space="preserve">98296</t>
  </si>
  <si>
    <t xml:space="preserve">Meta Pulse 300</t>
  </si>
  <si>
    <t xml:space="preserve">Film thickness measurement</t>
  </si>
  <si>
    <t xml:space="preserve">98297</t>
  </si>
  <si>
    <t xml:space="preserve">91565</t>
  </si>
  <si>
    <t xml:space="preserve">MP1 300</t>
  </si>
  <si>
    <t xml:space="preserve">98298</t>
  </si>
  <si>
    <t xml:space="preserve">MP1-300</t>
  </si>
  <si>
    <t xml:space="preserve">98837</t>
  </si>
  <si>
    <t xml:space="preserve">MP1-300XCU</t>
  </si>
  <si>
    <t xml:space="preserve">98493</t>
  </si>
  <si>
    <t xml:space="preserve">MP200</t>
  </si>
  <si>
    <t xml:space="preserve">Cu Film thickness measurement</t>
  </si>
  <si>
    <t xml:space="preserve">98494</t>
  </si>
  <si>
    <t xml:space="preserve">MP300</t>
  </si>
  <si>
    <t xml:space="preserve">100930</t>
  </si>
  <si>
    <t xml:space="preserve">100931</t>
  </si>
  <si>
    <t xml:space="preserve">101806</t>
  </si>
  <si>
    <t xml:space="preserve">NSX-105</t>
  </si>
  <si>
    <t xml:space="preserve">102357</t>
  </si>
  <si>
    <t xml:space="preserve">102358</t>
  </si>
  <si>
    <t xml:space="preserve">NSX115</t>
  </si>
  <si>
    <t xml:space="preserve">102359</t>
  </si>
  <si>
    <t xml:space="preserve">102360</t>
  </si>
  <si>
    <t xml:space="preserve">102361</t>
  </si>
  <si>
    <t xml:space="preserve">S300</t>
  </si>
  <si>
    <t xml:space="preserve">Spectroscopic Reflectometer</t>
  </si>
  <si>
    <t xml:space="preserve">100932</t>
  </si>
  <si>
    <t xml:space="preserve">Focused Beam Ellipsometer</t>
  </si>
  <si>
    <t xml:space="preserve">102363</t>
  </si>
  <si>
    <t xml:space="preserve">S3000S</t>
  </si>
  <si>
    <t xml:space="preserve">102364</t>
  </si>
  <si>
    <t xml:space="preserve">S3000SX</t>
  </si>
  <si>
    <t xml:space="preserve">91566</t>
  </si>
  <si>
    <t xml:space="preserve">WS3840</t>
  </si>
  <si>
    <t xml:space="preserve">3D Bump Metrology</t>
  </si>
  <si>
    <t xml:space="preserve">102367</t>
  </si>
  <si>
    <t xml:space="preserve">WV320</t>
  </si>
  <si>
    <t xml:space="preserve">Macro Defect inspection</t>
  </si>
  <si>
    <t xml:space="preserve">102369</t>
  </si>
  <si>
    <t xml:space="preserve">102372</t>
  </si>
  <si>
    <t xml:space="preserve">102373</t>
  </si>
  <si>
    <t xml:space="preserve">102374</t>
  </si>
  <si>
    <t xml:space="preserve">102376</t>
  </si>
  <si>
    <t xml:space="preserve">102365</t>
  </si>
  <si>
    <t xml:space="preserve">102366</t>
  </si>
  <si>
    <t xml:space="preserve">102368</t>
  </si>
  <si>
    <t xml:space="preserve">102370</t>
  </si>
  <si>
    <t xml:space="preserve">102371</t>
  </si>
  <si>
    <t xml:space="preserve">102375</t>
  </si>
  <si>
    <t xml:space="preserve">102377</t>
  </si>
  <si>
    <t xml:space="preserve">95621</t>
  </si>
  <si>
    <t xml:space="preserve">Metrology</t>
  </si>
  <si>
    <t xml:space="preserve">91559</t>
  </si>
  <si>
    <t xml:space="preserve">RUDOLPH </t>
  </si>
  <si>
    <t xml:space="preserve">AXL_S</t>
  </si>
  <si>
    <t xml:space="preserve">91560</t>
  </si>
  <si>
    <t xml:space="preserve">91561</t>
  </si>
  <si>
    <t xml:space="preserve">91567</t>
  </si>
  <si>
    <t xml:space="preserve">META PULSE 200</t>
  </si>
  <si>
    <t xml:space="preserve">Surface Film Metrology</t>
  </si>
  <si>
    <t xml:space="preserve">De-installed, warehoused. Can be inspected by appointment.
Please refer to the attached photos to see details regarding the current 
equipment condition and storage location.</t>
  </si>
  <si>
    <t xml:space="preserve">91562</t>
  </si>
  <si>
    <t xml:space="preserve">MP1 300 </t>
  </si>
  <si>
    <t xml:space="preserve">92709</t>
  </si>
  <si>
    <t xml:space="preserve">Rudolph </t>
  </si>
  <si>
    <t xml:space="preserve">De-installed, warehoused. Can be inspected by appointment.
Please refer to the attached photos to understand the current condition of 
this item of equipment.</t>
  </si>
  <si>
    <t xml:space="preserve">92710</t>
  </si>
  <si>
    <t xml:space="preserve">95619</t>
  </si>
  <si>
    <t xml:space="preserve">101673</t>
  </si>
  <si>
    <t xml:space="preserve">RVSI</t>
  </si>
  <si>
    <t xml:space="preserve">WS-3800</t>
  </si>
  <si>
    <t xml:space="preserve">2D/3D Automated Optical Inspection System</t>
  </si>
  <si>
    <t xml:space="preserve">103171</t>
  </si>
  <si>
    <t xml:space="preserve">S&amp;K </t>
  </si>
  <si>
    <t xml:space="preserve">Vapor Dryer</t>
  </si>
  <si>
    <t xml:space="preserve">Vapor Dyer</t>
  </si>
  <si>
    <t xml:space="preserve">103041</t>
  </si>
  <si>
    <t xml:space="preserve">Samco</t>
  </si>
  <si>
    <t xml:space="preserve">PC-1100</t>
  </si>
  <si>
    <t xml:space="preserve">Parallel-plate plasma cleaning system</t>
  </si>
  <si>
    <t xml:space="preserve">The process chamber enables the user to install multiple sample shelves, 
and the high degree of flexibility in terms of configuration supports the 
batch processing of a wide degree of products, from small electronic 
components to large FPD substrates. The PC-1100 provides 3 different 
processing modes (RIE mode, Plasma mode and downstreatm mode) which enables 
the user to select the optimum processing environment for the unique needs 
of each product type. RF Generator 13.56 MHZ 600 Watts with automatching 
network. Two MFC controlled gas lines. The interior shelves act as anode 
and cathodes and the plasma type depends on the configuration youput the 
shelves into. Very large shelves, ground shelf 405 x 410mm, power shelf 350 
x 425mm. Extra shelves with system. Oil free dry vacuum pump. 480V, 3Ph, 
60Hz, 20ASystem provides three modes of operation: RIE, Plasma and 
Downstream modes.Process chamber can be configured with multiple large 
process shelvesFully automated processing with touch screen controller, can 
also be run manuallyRecipes can be created and stored using the operator 
interface</t>
  </si>
  <si>
    <t xml:space="preserve">98495</t>
  </si>
  <si>
    <t xml:space="preserve">SAMCO</t>
  </si>
  <si>
    <t xml:space="preserve">PD3800 PECVD</t>
  </si>
  <si>
    <t xml:space="preserve">LED – pecvd system</t>
  </si>
  <si>
    <t xml:space="preserve">50/100mm</t>
  </si>
  <si>
    <t xml:space="preserve">101733</t>
  </si>
  <si>
    <t xml:space="preserve">RIE-10NR</t>
  </si>
  <si>
    <t xml:space="preserve">Reactive Ion Etching</t>
  </si>
  <si>
    <t xml:space="preserve">98496</t>
  </si>
  <si>
    <t xml:space="preserve">RIE-212 IPC</t>
  </si>
  <si>
    <t xml:space="preserve">LED Reactive Ion Etcher</t>
  </si>
  <si>
    <t xml:space="preserve">96021</t>
  </si>
  <si>
    <t xml:space="preserve">SAMCO INC.</t>
  </si>
  <si>
    <t xml:space="preserve">RIE-300NR</t>
  </si>
  <si>
    <t xml:space="preserve">REACTIVE ION ETCHING</t>
  </si>
  <si>
    <t xml:space="preserve">96022</t>
  </si>
  <si>
    <t xml:space="preserve">101727</t>
  </si>
  <si>
    <t xml:space="preserve">Schneider Senator</t>
  </si>
  <si>
    <t xml:space="preserve">115 H</t>
  </si>
  <si>
    <t xml:space="preserve">Guillotine/Paper Cutter</t>
  </si>
  <si>
    <t xml:space="preserve">100709</t>
  </si>
  <si>
    <t xml:space="preserve">Schroff</t>
  </si>
  <si>
    <t xml:space="preserve">PSM 115</t>
  </si>
  <si>
    <t xml:space="preserve">Power Supply Unit</t>
  </si>
  <si>
    <t xml:space="preserve">102894</t>
  </si>
  <si>
    <t xml:space="preserve">SDI</t>
  </si>
  <si>
    <t xml:space="preserve">SPV-1050</t>
  </si>
  <si>
    <t xml:space="preserve">Contamination Monitoring System</t>
  </si>
  <si>
    <t xml:space="preserve">91875</t>
  </si>
  <si>
    <t xml:space="preserve">SPV-300</t>
  </si>
  <si>
    <t xml:space="preserve">Surface Photo Voltage Tester for up to 300mm Wafers</t>
  </si>
  <si>
    <t xml:space="preserve">up to 300 mm</t>
  </si>
  <si>
    <t xml:space="preserve">    * Contact and Non-Contact Surface Photo Voltage Test Capability
    * For Analyzing 200mm &amp; 300mm Wafers
    * Light Acvtivation Module
    * Designed for 200mm &amp; 300mm Wafers
    * SDI Control Fe Activation Controller
    * Dual Halogen Lamp Housings
    * Wafer Analysis Module
    * Reference Light Module
    * Halogen Lamp Housing
    * EG&amp;G PAR 197 Light Chopper
    * Filter Wheel Assembly with 8ea Filters
    * Fiber Optic Light Delivery
    * Wafer Analysis Chuck
    * 200mm (dia.) Anodized Aluminum Wafer Chuck
    * Designed for 200mm &amp; 300mm Wafers
    * Calibration Chip Fixture
    * EG&amp;G PAR 7260 DSP Lock-In Amplifier
    * SDI LPS-12 Power Supply
    * SDI Opto Coupler
    * EQUIPE TECHNOLOGIES ATM-105 Wafer Handling Robot
    * EQUIPE TECHNOLOGIES ESC-212 Robot Controller
    * EQUIPE TECHNOLOGIES PRE -3019 Wafer Prealigner
    * 2ea NEWPORT RESEARCH MM3000 Motion Controllers
    * HEWLETT PACKARD Vectra XA Computer
    * 3.5” Floppy Disc Drive / CD-ROM Drive
    * SYQUEST ezflyer 230GB Backup Tape Drive
    * 15” Color LCD Monitor</t>
  </si>
  <si>
    <t xml:space="preserve">91873</t>
  </si>
  <si>
    <t xml:space="preserve">SDI / Semilab</t>
  </si>
  <si>
    <t xml:space="preserve">FAaST-330</t>
  </si>
  <si>
    <t xml:space="preserve">Dielectric Characterization Tool with COCOS &amp; Epi-t for up to 300mm Wafers</t>
  </si>
  <si>
    <t xml:space="preserve">    * THIS TOOL HAS NOW BEEN USED FOR SPARES
    * IT IS MISSING THE ROBOTS, PRE-ALIGNERS, PDM40S, ADE CONTROLLERS AND
      THE PAR LOCK IN AMPLIFIER
    *     If you want a list of what’s still there, please let me know.
    * COCOS, SILC &amp; EPI-t Test Capabilities
    * For Analyzing 200mm &amp; 300mm Wafers
    * 300mm (dia.) Anodized Aluminum Hot Chuck
    * 300mm (dia.) Gold Plated Measurement Chuck
    * PRI ATM 407-1-S Wafer Handling Robot
    * PRI ESC-212B Robot Controller
    * EQUIPE TECHNOLOGIES PRE -4281 Wafer Prealigner
    * 2ea NEWPORT RESEARCH MM3000 Motion Controllers
    * 2ea SDI PDM-40a Control Boxes
    * SDI Temperature Control Box
    * SDI Corona Switch Box
    * SDI I/O Control Box
    * SDI Opto Coupler
    * SDI BNC Switch Box
    * SDI 12V/24V Power Supply
    * SDI Height Sensor Control Box
    * SDI Vacuum/Pneumatic Control Box
    * WAVETEK Model 29 10 MHz DDS Function Generator
    * 2ea BERTRAN 2341-1 High Voltage Power Supplies
    * EG&amp;G 7265 DSP Lock-In Amplifier
    * HEWLETT PACKARD Vectra VE6/450 Computer
    * 3.5” Floppy Disc Drive
    * 100GB Jazz Drive
    * MITSUBISHI LXA550W LCD Monitor
    * OMEGA HX92 Humidity Sensor/Transmitter
    * ADE 3800 Probe Sensor Control Box</t>
  </si>
  <si>
    <t xml:space="preserve">103042</t>
  </si>
  <si>
    <t xml:space="preserve">SEC</t>
  </si>
  <si>
    <t xml:space="preserve">360</t>
  </si>
  <si>
    <t xml:space="preserve">UV Exposure System</t>
  </si>
  <si>
    <t xml:space="preserve">360 UV Exposure System. Cures UV Tapes Quickly and Uniformly. Small 18” 
dia. footprint but handles all wafer sizes up to 200mm. Cures most UV tape 
in 30 seconds. Ultra long life light source with a wavelength of 365 
nanometers Digital timer with audible signal. Has cover gas capability with 
a purge timer. Generates very little heat and no ozone. 115V, 50/60 Hz, 
6.5A.</t>
  </si>
  <si>
    <t xml:space="preserve">102765</t>
  </si>
  <si>
    <t xml:space="preserve">Model 860 Eagle</t>
  </si>
  <si>
    <t xml:space="preserve"> Used, In Warehouse - Not Crated Standard Features of S.E.C. Model 860Two 
Bond RangesPrecision servo-motor driven Z motion with the option of 
choosing from 2 closed loop bond control ranges from 5 grams to 10 
kilograms; your choice of one range per configuration.Viewing 
SystemExtend-retract cube beam splitter viewing system with fiber optic 
illuminators including color CCD video camera; 14" monitor with a 
magnification range of 20X to 200X.Operator SettingsSimplified flat panel 
display for viewing the cycle and prompting operator action via joystick as 
process proceeds, providing time and temperature readouts. Internal PC for 
controlling bond load, temperature profiles, process times and machine 
cycle. Hard drive and 3.5" floppy disk drive included.Workstage (3 options 
available)Micrometer adjusted workstage holder for movement over either a 
small or large open area in X, Y and theta during pickup; easily 
detachable, modular workstage not included – choose from a 1-1/2" rapid (to 
400 degrees C) heat-up stage for small substrates, a 4" preset fixed stage 
(to maximum of 350 degrees C) for large area heating, or a cold, unheated 
4" stage.Workchuck4" square work chuck with vacuum hold down for either 
fixed heat or unheated stage or a 3/4" square flat vacuum chuck for rapid 
heat-up; custom work chucks available.BondingThermocompression bond head 
with fixed pick-up tool for operation from cold temperature up to 250 
degrees C; includes temperature ramping feature (for adhesive applications) 
during placement process.Specifications· Die sizes up to 2.0” sq.· 1 Micron 
placement accuracy. (Actual die placement accuracy depends on the 
application).· Magnification up to 560X· Viewable area 2.0 ‘’ square. (With 
optional X-Y motorized viewer· Stages 1”, 2”, 4” square standard. (other 
sizes and shapes available)· Stage temperatures to 450 C (depends on stage 
selected)· Stage temperature ramp rate: 1” rapid heat-15 C/sec, 2” rapid 
heat-10 C/sec· Bond head temp to 400 C. (depends on bond head selected)· 
Bond load 10g to 10Kg (depends on bond head selected).· Power: 120/220V, 
10/5 amp. 50-60 Hz· Compressed Air: 60 psi· Vacuum: 10” Hg· Gas: 40 psi 
(cover gas for spot heating)· Weight: System: 300 lbs. - Shipping: 400 lbs</t>
  </si>
  <si>
    <t xml:space="preserve">90239</t>
  </si>
  <si>
    <t xml:space="preserve">SECASI</t>
  </si>
  <si>
    <t xml:space="preserve">Goniometer</t>
  </si>
  <si>
    <t xml:space="preserve">solar</t>
  </si>
  <si>
    <t xml:space="preserve">72930</t>
  </si>
  <si>
    <t xml:space="preserve">Seiko</t>
  </si>
  <si>
    <t xml:space="preserve">SFT-3200</t>
  </si>
  <si>
    <t xml:space="preserve">Coating thickness Gauge Refurbished</t>
  </si>
  <si>
    <t xml:space="preserve">Measuring chamber:
 Sample chamber with 9”x 6.5” top plate for easy access and support
 Micro-focus, Be-window X-ray tube with 4000ml oil reservoir
 Proprietary, SS, brazed window proportional counter (for greater 
accuracy/repeatability and
longevity)
 Automatic, motorized collimator 6sizes: Rnd – Shaped: 4, 8, 12, 20 mil
Sq – Shaped: 1x16, 2x16 mil (X x Y)
 Precision, High-speed, X-Y-Z stage w/ 9.5 x 6 x 6” movement
SFT System Analyzer:
 IBM Compatible system, Windows XP O/S, 17” monitor
 Microsoft Office software including Microsoft Excel &amp; Microsoft Word
 Seiko X-Ray Station - 32 bit software for multi-tasking
Software features:
 Advanced statistical processing functions automatically link to Microsoft 
Excel for seamless
reporting in popular spreadsheet format
 Full color, 2D / 3D Surface profiles
 Advanced, spectrum analysis functions enables operator to “fine-tune” 
calibration to quickly
maximize performance for a specific thickness range or alloy composition
 Calibration modes: Single layer, FP Thin film, Dual layer, tri-layer, 
Solution analysis,
Simultaneous alloy thickness and composition
 Bulk Analysis: Fundamental Parameter &amp;Calibration modes
Automatic Adjust: Has a built in reference standard that automatically 
adjust the XRF, this
feature virtually eliminates the need to recalibrate the instrument and can 
be manually set to
your desired time schedule.
</t>
  </si>
  <si>
    <t xml:space="preserve">102529</t>
  </si>
  <si>
    <t xml:space="preserve">SEIKO EPSON</t>
  </si>
  <si>
    <t xml:space="preserve">NS-8040</t>
  </si>
  <si>
    <t xml:space="preserve">101685</t>
  </si>
  <si>
    <t xml:space="preserve">Seiko Epson </t>
  </si>
  <si>
    <t xml:space="preserve">NS7010 </t>
  </si>
  <si>
    <t xml:space="preserve">102379</t>
  </si>
  <si>
    <t xml:space="preserve">Seiko Instruments</t>
  </si>
  <si>
    <t xml:space="preserve">Xvision 300DB</t>
  </si>
  <si>
    <t xml:space="preserve">Fib-SEM</t>
  </si>
  <si>
    <t xml:space="preserve">XVision 300D / TB series
Resolution (secondary electron Image)
4nm/30Kv
Acceleration Voltage
1-30 V
Maximum Probe current density
50A/cm
Maximum current
90NA
Electron Beam (FE-SEM)
Resolution (third-order electron image)
3nm @ 5kV
Beam coin incident point
1-30kV
Ar Beam (TB only)
Accelerated Voltage
0.5-2kV
Stage
Sample Stage
5-axis electric tilt stage (with scale feedback)
Sample Size
Up to 300 mm JEIDA standard Wafer
Option
Linkage with missing test dosage
Micro probing system
4ch multi-gas supply system
Continued  TEM sample automatic addition Software</t>
  </si>
  <si>
    <t xml:space="preserve">90170</t>
  </si>
  <si>
    <t xml:space="preserve">SEIKO SEIKI</t>
  </si>
  <si>
    <t xml:space="preserve">STP-301CVB</t>
  </si>
  <si>
    <t xml:space="preserve">101853</t>
  </si>
  <si>
    <t xml:space="preserve">Seiko-Epson</t>
  </si>
  <si>
    <t xml:space="preserve">NS-7000</t>
  </si>
  <si>
    <t xml:space="preserve">High Speed 4 Site IC Handler</t>
  </si>
  <si>
    <t xml:space="preserve">101840</t>
  </si>
  <si>
    <t xml:space="preserve">Power source:  220V single phase 6KVA  50/60 Hz
Dimensions: W1640 x D1580 x H1860
Working condition video available upon request.
Configuration: 4 Sites, Dual Temperature (Ambient and Hot up to 150 
Celcius).
Weight: 1150k</t>
  </si>
  <si>
    <t xml:space="preserve">101841</t>
  </si>
  <si>
    <t xml:space="preserve">Power source:  220V single phase 6KVA  50/60 Hz
Dimensions: W1640 x D1580 x H1860
Weight: 1150k
Configuration: 4 Sites, Dual Temperature (Ambient and Hot up to 150 
Celcius).
Working condition video available upon request.</t>
  </si>
  <si>
    <t xml:space="preserve">102951</t>
  </si>
  <si>
    <t xml:space="preserve">SELA</t>
  </si>
  <si>
    <t xml:space="preserve">EM3i</t>
  </si>
  <si>
    <t xml:space="preserve">Saw for TEM sample preparation</t>
  </si>
  <si>
    <t xml:space="preserve">An automated sawing system that enables TEM/STEM and SEM sample preparation 
for both cross section and plan viev in a wide range of application. 
Featuring a cryo-cooled, dry sawing process, the EM3 system prepares 
specimens of either crystalline or amourphous materials. The output sample 
is mounted onto a compatible TEM mount that allows rework. Applicable for 
site-specific and general area Enables multiple reworks of TEM specimen 
Interfaces with broad and focused ion milling Increases overall throughput 
Improves yield analysis Improves characterization Low cost of ownership</t>
  </si>
  <si>
    <t xml:space="preserve">102572</t>
  </si>
  <si>
    <t xml:space="preserve">SEMES</t>
  </si>
  <si>
    <t xml:space="preserve">EKPS-01</t>
  </si>
  <si>
    <t xml:space="preserve">88139</t>
  </si>
  <si>
    <t xml:space="preserve">Interface  System</t>
  </si>
  <si>
    <t xml:space="preserve">102573</t>
  </si>
  <si>
    <t xml:space="preserve">PVC-211</t>
  </si>
  <si>
    <t xml:space="preserve">86465</t>
  </si>
  <si>
    <t xml:space="preserve">SEMICS</t>
  </si>
  <si>
    <t xml:space="preserve">Opus 2</t>
  </si>
  <si>
    <t xml:space="preserve">DEINSTALLED WAREHOUSED
FOR CONDITION PLEASE REFER TO ATTACHED PHOTOS
</t>
  </si>
  <si>
    <t xml:space="preserve">102976</t>
  </si>
  <si>
    <t xml:space="preserve">OPUS II</t>
  </si>
  <si>
    <t xml:space="preserve">102977</t>
  </si>
  <si>
    <t xml:space="preserve">102978</t>
  </si>
  <si>
    <t xml:space="preserve">102979</t>
  </si>
  <si>
    <t xml:space="preserve">97873</t>
  </si>
  <si>
    <t xml:space="preserve">97874</t>
  </si>
  <si>
    <t xml:space="preserve">97875</t>
  </si>
  <si>
    <t xml:space="preserve">97876</t>
  </si>
  <si>
    <t xml:space="preserve">84169</t>
  </si>
  <si>
    <t xml:space="preserve">OPUS2</t>
  </si>
  <si>
    <t xml:space="preserve">De-installed, warehoused, crated. Can be inspected by appointment in the 
warehouse.</t>
  </si>
  <si>
    <t xml:space="preserve">102381</t>
  </si>
  <si>
    <t xml:space="preserve">Semilab</t>
  </si>
  <si>
    <t xml:space="preserve">PS-2000</t>
  </si>
  <si>
    <t xml:space="preserve">Ellipsometric Porosimeter</t>
  </si>
  <si>
    <t xml:space="preserve">102382</t>
  </si>
  <si>
    <t xml:space="preserve">SPVCMS4000</t>
  </si>
  <si>
    <t xml:space="preserve">Surface Charge Measurement</t>
  </si>
  <si>
    <t xml:space="preserve">102383</t>
  </si>
  <si>
    <t xml:space="preserve">SemiProbe</t>
  </si>
  <si>
    <t xml:space="preserve">PS4L FA-12</t>
  </si>
  <si>
    <t xml:space="preserve">Fully Automatic Prober with FOUP Capability</t>
  </si>
  <si>
    <t xml:space="preserve">99431</t>
  </si>
  <si>
    <t xml:space="preserve">Semitec</t>
  </si>
  <si>
    <t xml:space="preserve">S1425</t>
  </si>
  <si>
    <t xml:space="preserve">102384</t>
  </si>
  <si>
    <t xml:space="preserve">Semitool</t>
  </si>
  <si>
    <t xml:space="preserve">R310 FMC2</t>
  </si>
  <si>
    <t xml:space="preserve">Electrochemical Etch Tool</t>
  </si>
  <si>
    <t xml:space="preserve">103117</t>
  </si>
  <si>
    <t xml:space="preserve">Raider ECD</t>
  </si>
  <si>
    <t xml:space="preserve">ECD (Electro Chemical Deposition) - Deposition Equipment</t>
  </si>
  <si>
    <t xml:space="preserve">WET 11-3AMAT_RAIDER_CUPLT_10 AMAT RAIDER CUPLT</t>
  </si>
  <si>
    <t xml:space="preserve">102387</t>
  </si>
  <si>
    <t xml:space="preserve">Raider ECD310</t>
  </si>
  <si>
    <t xml:space="preserve">Copper Plating - Electro-Chemical Deposition</t>
  </si>
  <si>
    <t xml:space="preserve">102388</t>
  </si>
  <si>
    <t xml:space="preserve">Cu Electroplater</t>
  </si>
  <si>
    <t xml:space="preserve">102386</t>
  </si>
  <si>
    <t xml:space="preserve">Cu Plating, Electro-Chemical Depostion</t>
  </si>
  <si>
    <t xml:space="preserve">103118</t>
  </si>
  <si>
    <t xml:space="preserve">- Base System Descrition - Ulpa Filtration: 70006-401 - Earthquake: No - 
Exhaust: 3 Adjustable Exhaust - Drip Pans: 1 - LT Process Robot: 
610T0300-01 - Station Control - User Interface: Rear - 650T0030-03, Front: 
650T0030-501 - Display: English - Operating system: Embedded XP system, 
Software version - 2.13.4.24 - USB Ports: 2 USB ports - Intermediate 
station: None - Metrology unit: 90005-81 - Buffer station: 640T0377-01 - 
Transfer Robot: 610T0300-01 - Factory Interface Options - Manufactor: 
Semitool Inc. - FOUP / Cassette - Part Number: Entegris- F300 Auto-pod 
(01-018675) - Wafer Diameter: Wafer Diameter : 300 � 0.25mm - Wafer Pitch: 
Half Pitch - Wafer Mapping capability: E84 Parallel I/O Sensors (4012-25), 
E99 Carrier ID Reader, 3 hermos RF tag readers - Number of FOUP: 3 load 
ports 640T0147-505 - Chemical Connections - Line-1: Catholyte A 180L - 
Line-2: Anolyte A 65L - Line-3: N/A - Line-4: N/A - Line-5: H2SO4 - Line-6: 
H2O2 - Line-7: CDA - Line-8: DI - Line-9: N2 - Line-10: House Vacuum - 
Line-11: CO2 Fire Suppression - Catholyte A - Monitoring - Photospec probe: 
90005-01 - pH probe: 61326-16 - Sampling Port: 429T1635-503 - RTA Probe: 
90005-50 - Real Time Analyzer : 1 RTA GoldBox - Drain - Concentrated Copper 
waste: Concentrated Copper waste - Dilute Copper Waste: Dilute Copper Waste 
- Acid Waste: Yes - Chamber 1: Rinse dry with bevel etch capability - Lift 
Automation Assy: 200T0085-03 - Mixing tank: 330T0188-01 - Delivery tank: 
330T0190-15 - Bowl: 100T0143-09 - Temp control: Heating/Cooling coils - 
Dryer: N2 - Chamber 2: Rinse dry with bevel etch capability - Lift 
Automation Assy: 200T0085-03 - Mixing tank: 330T0188-01 - Delivery tank: 
330T0190-15 - Bowl: 100T0143-09 - Temp control: incl in tank assy - Dryer: 
N2 - Chamber 3 : Electroplating chamber with membrane - Automation assy 
L/R: 240T0057-01 - Catholyte Tank A: 330T0186-515 - Anolyte Tank A: 
330T0243-501 - Temp control: Heating/Cooling coils - Anodes : 14400-90 - 
Membrane: 111T1388-03 - Filters: 7004-63 - Pump: 70959-31 - Debubbler: 
119T1289-03 - Ring rinse nozzle: 341T0043-01 - Wafer rinse nozzle: 
341T0043-01 - Power supply : 900C0329-01 - Chamber 4: Electroplating 
chamber with membrane - Automation assy L/R: 240T0057-01 - Catholyte Tank 
A: 330T0186-515 - Anolyte Tank A: 330T0243-501 - Temp control: 
Heating/Cooling coils - Anodes : 14400-90 - Membrane: 111T1388-03 - 
Filters: 7004-63 - Pump: 70959-31 - Debubbler: 119T1289-03 - Ring rinse 
nozzle: 341T0043-01 - Wafer rinse nozzle: 341T0043-01 - Power supply : 
900C0329-01 - Chamber 5:Electroplating chamber with membrane - Automation 
assy L/R: 240T0057-01 - Catholyte Tank A: 330T0186-515 - Anolyte Tank A: 
330T0243-501 - Temp control: Heating/Cooling coils - Anodes : 14400-90 - 
Membrane: 111T1388-03 - Filters: 7004-63 - Pump: 70959-31 - Debubbler: 
119T1289-03 - Ring rinse nozzle: 341T0043-01 - Wafer rinse nozzle: 
341T0043-01 - Power supply : 900C0329-01 - Chamber 6: Electroplating 
chamber with membrane - Automation assy L/R: 240T0057-01 - Catholyte Tank 
A: 330T0186-515 - Anolyte Tank A: 330T0243-501 - Temp control: 
Heating/Cooling coils - Anodes : 14400-90 - Membrane: 111T1388-03 - 
Filters: 7004-63 - Pump: 70959-31 - Debubbler: 119T1289-03 - Ring rinse 
nozzle: 341T0043-01 - Wafer rinse nozzle: 341T0043-01 - Power supply : 
900C0329-01 - Chamber 7:Electroplating chamber with membrane - Automation 
assy L/R:240T0057-01 - Catholyte Tank A:330T0186-515 - Anolyte Tank 
A:330T0243-501 - Temp control:Heating/Cooling coils - Anodes :14400-90 - 
Membrane:111T1388-03 - Filters:7004-63 - Pump:70959-31 - 
Debubbler:119T1289-03 - Ring rinse nozzle:341T0043-01 - Wafer rinse 
nozzle:341T0043-01 - Power supply :900C0329-01 - Chamber 8:Electroplating 
chamber with membrane - Automation assy L/R:240T0057-01 - Catholyte Tank 
A:330T0186-515 - Anolyte Tank A:330T0243-501 - Temp control:Heating/Cooling 
coils - Anodes :14400-90 - Membrane:111T1388-03 - Filters:7004-63 - 
Pump:70959-31 - Debubbler:119T1289-0</t>
  </si>
  <si>
    <t xml:space="preserve">102389</t>
  </si>
  <si>
    <t xml:space="preserve">Raider SP</t>
  </si>
  <si>
    <t xml:space="preserve">BEVEL CLEAN Process</t>
  </si>
  <si>
    <t xml:space="preserve">102390</t>
  </si>
  <si>
    <t xml:space="preserve">Spectrum 300</t>
  </si>
  <si>
    <t xml:space="preserve">Wet Clean Spray Processor</t>
  </si>
  <si>
    <t xml:space="preserve">101350</t>
  </si>
  <si>
    <t xml:space="preserve">SRD-2405-3-1-E-ML</t>
  </si>
  <si>
    <t xml:space="preserve">Spin Rinse Dryer</t>
  </si>
  <si>
    <t xml:space="preserve">94480</t>
  </si>
  <si>
    <t xml:space="preserve">SEMITOOL</t>
  </si>
  <si>
    <t xml:space="preserve">WST305M</t>
  </si>
  <si>
    <t xml:space="preserve">Spin Dry</t>
  </si>
  <si>
    <t xml:space="preserve">103172</t>
  </si>
  <si>
    <t xml:space="preserve">Semitool </t>
  </si>
  <si>
    <t xml:space="preserve">Equinox </t>
  </si>
  <si>
    <t xml:space="preserve">Electroplating System</t>
  </si>
  <si>
    <t xml:space="preserve">Configuration: 4 Plating Chambers, 2 Preclean SRD chambers, 1 Plating Tank 
SEMITOOL EQUINOX PLATING SYSTEM consisting of: - Model: Equinox - 
Configured for 150mm Wafers - 4 Plating Chambers - 2 Preclean / SRD 
Chambers - Genmark Radial Robot - 1 Tank Ultrasonic Level Sensor - ARU 
Interface - Levitronix Pumps - Surpass Flow Meters - Pall 10” Filter 
Housings (Plating Cells) - Pall 4” Filter (Prewet Tank) - Sample Port - 
Fire Suppression System - Chemical Bulk Fill - Dynatronix Pro Series 
Plating Power Supply (4-Cell) - Tank Heat Exchange Connections - Power: 
208VAC, 80A, 50/60Hz - Available for full inspection.</t>
  </si>
  <si>
    <t xml:space="preserve">103173</t>
  </si>
  <si>
    <t xml:space="preserve">Sirius </t>
  </si>
  <si>
    <t xml:space="preserve">HydrOzone</t>
  </si>
  <si>
    <t xml:space="preserve">150-200 mm</t>
  </si>
  <si>
    <t xml:space="preserve">SEMITOOL SIRIUS HYDROZONE SYSTEM consisting of: - Model: Sirius HydrOzone - 
Wafer Size: 150mm &amp; 200mm wafer capable - Process: DI water/ozone - Rinse: 
DI water with ammonium hydroxide - Dry: N2 - Spray processing chamber. - 
Uses a minimal amount of deionized water and ozone - Low cost, low 
environmental impact process used for photoresist stripping, 
photolithography rework and organic cleans - Does not require the use of 
sulfuric acid with its related delivery and disposal costs</t>
  </si>
  <si>
    <t xml:space="preserve">103175</t>
  </si>
  <si>
    <t xml:space="preserve">Symphony 2300</t>
  </si>
  <si>
    <t xml:space="preserve">Spray Acid Tool (1-chamber</t>
  </si>
  <si>
    <t xml:space="preserve">Configuration: 2-Chamber SAT, HF Etch, 3-Bay CDU SEMITOOL 2-CHAMBER SPRAY 
ACID TOOL (SAT) consisting of: - Wafer Size: 8"/200mm Cassettes - Spray 
Acid Tool (SAT) - 2 Chambers - 3 Tanks - 3 Fill Vessels - 1 Hot DI Tank - 3 
Pumps - Hot DI Water Loop - Dedicated HF Drain - Semitool 302 Controller - 
Operators Manual for Semitool SAT - Refurbished to OEM Specifications by 
Semitool Factory Trained Technician - Available for Full Inspection and 
Demonstration.</t>
  </si>
  <si>
    <t xml:space="preserve">103174</t>
  </si>
  <si>
    <t xml:space="preserve">Spray Acid Tool (1-Chamber)</t>
  </si>
  <si>
    <t xml:space="preserve">Configuration: 1-chamber Spray Acid Tool, 12"/300mm capable, 2 heated 
chemical tank, Hot DI Loop SEMITOOL SPRAY ACID TOOL (SAT) consisting of: - 
Spray Acid Tool (SAT) - Single Chamber - Up to 12"/300mm capable - 
Capacity: Single 25-Wafer Cassette, 300mm wafers - 2 Heated Chemical Tank - 
1 Pneumatic Trebor Pump for chemical delivery - 3 Fill Vessel - 3 AO 
Metering Pump - Ozone Catalyst Destruct Unit - Ozone Injection (Ozone 
Ready) but Ozone the generator not included - Touch Screen Interface - 
Emergency Off (EMO) - Light Tower - System Power: 208V, 3PH, 40Amp, 50/60Hz 
- Operator Manuals and documentation</t>
  </si>
  <si>
    <t xml:space="preserve">98862</t>
  </si>
  <si>
    <t xml:space="preserve">Semix</t>
  </si>
  <si>
    <t xml:space="preserve">Tazmo</t>
  </si>
  <si>
    <t xml:space="preserve">SOG track</t>
  </si>
  <si>
    <t xml:space="preserve">Deinstalled. Warehoused. Can be inspected by appointment.
Basic configuration:
• Semix Tazmo
• 150mm
• 2 load 2 unload sta(ons
• 1 coater
• 2 SOG dispense lines
• 3 bakplates
• Machine serial nr : on request
Options:
• Refurbishment
• New CE cer(fica(on
• Installa(on and warrantee</t>
  </si>
  <si>
    <t xml:space="preserve">88140</t>
  </si>
  <si>
    <t xml:space="preserve">SEREN</t>
  </si>
  <si>
    <t xml:space="preserve">R301MKⅡ</t>
  </si>
  <si>
    <t xml:space="preserve">102768</t>
  </si>
  <si>
    <t xml:space="preserve">SEZ</t>
  </si>
  <si>
    <t xml:space="preserve">DV-34</t>
  </si>
  <si>
    <t xml:space="preserve">Single Wafer Processing - Etch/Clean</t>
  </si>
  <si>
    <t xml:space="preserve">Process: SWC Process module: HF; Poly (HF+HNO3)Transfer station: ASYST load 
port; Brooks robot(Dual arm robot)Sub-unit: CDS (Chemistry Dispense 
System)Transfer Configuration-Carrier transferCarier port*3, Tag reader 
*3Port door*3, motor*3Safty light curtain*2Wafer transferBrooks robot:Dual 
arm robotRobot linear moduleFlip station*2: left &amp; rightMain bodyLeft 
ECO:motor*2Right ECO:motor*2ECO linear modulechuck: motor*1elevator: 
motor*1dispenser*4, motor*4 &amp; cylinder*2Tank: HFMixture 1: HFProcess tank 
material: PVDFBuffer tank material : PVDFProcess temp: 60℃Heating 
method: in-line heater (6KW)Exhaust method: Manual damperProcess Pump: 
rotary pump LEVITRONIX (48V -PFA-LV)Return Punmp: Diaphragm pump, model 
110Tank level sensor: ifm electronic (KN5115)Drain method: pump drain 
(membrane pump A 10 TTZ )Drain line: 2 linesChemistry tube material: 
PFATank: PolyMixture 1:HF2: HNO3Mixing ratio: HF+HNO3Process tank material: 
PVDFBuffer tank material : PVDFProcess temp: 25℃Heating method: in-line 
heater (6KW)Exhaust method: Manual damperConcentration meter: HORIBA 
(CS-153)Process Pump: rotary pump LEVITRONIX (48V -PFA-LV)Return 
Punmp: Diaphragm pump, model 110dosing pump: METERING PUMP (PZ10)Paddle 
wheel: Flowmeter, paddle wheel Tank level sensor: ifm electronic 
(KN5115)Drain method: pump drain (membrane pump A 10 TTZ )Drain line: 2 
linesChemistry tube material: PFA </t>
  </si>
  <si>
    <t xml:space="preserve">101720</t>
  </si>
  <si>
    <t xml:space="preserve">DV34</t>
  </si>
  <si>
    <t xml:space="preserve">Spin Etcher</t>
  </si>
  <si>
    <t xml:space="preserve">101721</t>
  </si>
  <si>
    <t xml:space="preserve">DV38</t>
  </si>
  <si>
    <t xml:space="preserve">93396</t>
  </si>
  <si>
    <t xml:space="preserve">Shibaura</t>
  </si>
  <si>
    <t xml:space="preserve">CD 80</t>
  </si>
  <si>
    <t xml:space="preserve">102391</t>
  </si>
  <si>
    <t xml:space="preserve">CDE-80</t>
  </si>
  <si>
    <t xml:space="preserve">102392</t>
  </si>
  <si>
    <t xml:space="preserve">CDE300</t>
  </si>
  <si>
    <t xml:space="preserve">102393</t>
  </si>
  <si>
    <t xml:space="preserve">ICE/CDE300</t>
  </si>
  <si>
    <t xml:space="preserve">Isotropic Chemical Dry Etch</t>
  </si>
  <si>
    <t xml:space="preserve">90161</t>
  </si>
  <si>
    <t xml:space="preserve">SHIMADZU</t>
  </si>
  <si>
    <t xml:space="preserve">EI-D1303M</t>
  </si>
  <si>
    <t xml:space="preserve">90160</t>
  </si>
  <si>
    <t xml:space="preserve">EI-D203M</t>
  </si>
  <si>
    <t xml:space="preserve">90162</t>
  </si>
  <si>
    <t xml:space="preserve">EI-R04MT</t>
  </si>
  <si>
    <t xml:space="preserve">90158</t>
  </si>
  <si>
    <t xml:space="preserve">TMP-1303LMC-G1</t>
  </si>
  <si>
    <t xml:space="preserve">90159</t>
  </si>
  <si>
    <t xml:space="preserve">TMP-203M-G1</t>
  </si>
  <si>
    <t xml:space="preserve">87647</t>
  </si>
  <si>
    <t xml:space="preserve">SHINKAWA</t>
  </si>
  <si>
    <t xml:space="preserve">ACB3000 (LED)</t>
  </si>
  <si>
    <t xml:space="preserve">Wire Bonder</t>
  </si>
  <si>
    <t xml:space="preserve">Deinstalled, warehoused. Can be inspected by appointment. see attached 
photos for details.
Computer HDD not included.</t>
  </si>
  <si>
    <t xml:space="preserve">103186</t>
  </si>
  <si>
    <t xml:space="preserve">ACB35</t>
  </si>
  <si>
    <t xml:space="preserve">103187</t>
  </si>
  <si>
    <t xml:space="preserve">103188</t>
  </si>
  <si>
    <t xml:space="preserve">103189</t>
  </si>
  <si>
    <t xml:space="preserve">103190</t>
  </si>
  <si>
    <t xml:space="preserve">103191</t>
  </si>
  <si>
    <t xml:space="preserve">103192</t>
  </si>
  <si>
    <t xml:space="preserve">103193</t>
  </si>
  <si>
    <t xml:space="preserve">103194</t>
  </si>
  <si>
    <t xml:space="preserve">103195</t>
  </si>
  <si>
    <t xml:space="preserve">103196</t>
  </si>
  <si>
    <t xml:space="preserve">103197</t>
  </si>
  <si>
    <t xml:space="preserve">103198</t>
  </si>
  <si>
    <t xml:space="preserve">103199</t>
  </si>
  <si>
    <t xml:space="preserve">103200</t>
  </si>
  <si>
    <t xml:space="preserve">103201</t>
  </si>
  <si>
    <t xml:space="preserve">ACB400</t>
  </si>
  <si>
    <t xml:space="preserve">103202</t>
  </si>
  <si>
    <t xml:space="preserve">103203</t>
  </si>
  <si>
    <t xml:space="preserve">103204</t>
  </si>
  <si>
    <t xml:space="preserve">103205</t>
  </si>
  <si>
    <t xml:space="preserve">87850</t>
  </si>
  <si>
    <t xml:space="preserve">COF 300</t>
  </si>
  <si>
    <t xml:space="preserve">87851</t>
  </si>
  <si>
    <t xml:space="preserve">87852</t>
  </si>
  <si>
    <t xml:space="preserve">87853</t>
  </si>
  <si>
    <t xml:space="preserve">87854</t>
  </si>
  <si>
    <t xml:space="preserve">102980</t>
  </si>
  <si>
    <t xml:space="preserve">Shinkawa</t>
  </si>
  <si>
    <t xml:space="preserve">SFB-200</t>
  </si>
  <si>
    <t xml:space="preserve">94027</t>
  </si>
  <si>
    <t xml:space="preserve">SPA-300  SUPER</t>
  </si>
  <si>
    <t xml:space="preserve">100045</t>
  </si>
  <si>
    <t xml:space="preserve">SPA-300 Super</t>
  </si>
  <si>
    <t xml:space="preserve">88398</t>
  </si>
  <si>
    <t xml:space="preserve">SPA310</t>
  </si>
  <si>
    <t xml:space="preserve">92434</t>
  </si>
  <si>
    <t xml:space="preserve">102627</t>
  </si>
  <si>
    <t xml:space="preserve">SPA400</t>
  </si>
  <si>
    <t xml:space="preserve">80348</t>
  </si>
  <si>
    <t xml:space="preserve">UTC-1000 Super</t>
  </si>
  <si>
    <t xml:space="preserve">there are 60 sets available and they are all in working condition. please 
inquire for more info.
Please refer to the photos attached to see the condition and the 
configuration of these bonders.</t>
  </si>
  <si>
    <t xml:space="preserve">87855</t>
  </si>
  <si>
    <t xml:space="preserve">UTC-1000 SUPER</t>
  </si>
  <si>
    <t xml:space="preserve">87856</t>
  </si>
  <si>
    <t xml:space="preserve">87857</t>
  </si>
  <si>
    <t xml:space="preserve">87858</t>
  </si>
  <si>
    <t xml:space="preserve">87859</t>
  </si>
  <si>
    <t xml:space="preserve">87860</t>
  </si>
  <si>
    <t xml:space="preserve">87861</t>
  </si>
  <si>
    <t xml:space="preserve">87862</t>
  </si>
  <si>
    <t xml:space="preserve">87863</t>
  </si>
  <si>
    <t xml:space="preserve">87864</t>
  </si>
  <si>
    <t xml:space="preserve">87865</t>
  </si>
  <si>
    <t xml:space="preserve">87866</t>
  </si>
  <si>
    <t xml:space="preserve">87867</t>
  </si>
  <si>
    <t xml:space="preserve">87868</t>
  </si>
  <si>
    <t xml:space="preserve">87869</t>
  </si>
  <si>
    <t xml:space="preserve">87870</t>
  </si>
  <si>
    <t xml:space="preserve">87871</t>
  </si>
  <si>
    <t xml:space="preserve">87872</t>
  </si>
  <si>
    <t xml:space="preserve">87873</t>
  </si>
  <si>
    <t xml:space="preserve">87874</t>
  </si>
  <si>
    <t xml:space="preserve">87875</t>
  </si>
  <si>
    <t xml:space="preserve">87876</t>
  </si>
  <si>
    <t xml:space="preserve">87877</t>
  </si>
  <si>
    <t xml:space="preserve">87878</t>
  </si>
  <si>
    <t xml:space="preserve">87879</t>
  </si>
  <si>
    <t xml:space="preserve">87880</t>
  </si>
  <si>
    <t xml:space="preserve">UTC-2000 SUPER</t>
  </si>
  <si>
    <t xml:space="preserve">87881</t>
  </si>
  <si>
    <t xml:space="preserve">87882</t>
  </si>
  <si>
    <t xml:space="preserve">87883</t>
  </si>
  <si>
    <t xml:space="preserve">87884</t>
  </si>
  <si>
    <t xml:space="preserve">87885</t>
  </si>
  <si>
    <t xml:space="preserve">87886</t>
  </si>
  <si>
    <t xml:space="preserve">87887</t>
  </si>
  <si>
    <t xml:space="preserve">87889</t>
  </si>
  <si>
    <t xml:space="preserve">87894</t>
  </si>
  <si>
    <t xml:space="preserve">UTC-3000WE</t>
  </si>
  <si>
    <t xml:space="preserve">De-installed, warehoused. Inspection is available by appointment.
Parts tool only</t>
  </si>
  <si>
    <t xml:space="preserve">101674</t>
  </si>
  <si>
    <t xml:space="preserve">Shinko</t>
  </si>
  <si>
    <t xml:space="preserve">BX80-070954-14</t>
  </si>
  <si>
    <t xml:space="preserve">Robot Controller LM-ARM-COT2</t>
  </si>
  <si>
    <t xml:space="preserve">97877</t>
  </si>
  <si>
    <t xml:space="preserve">Siemens</t>
  </si>
  <si>
    <t xml:space="preserve">3 DIMESION MEA</t>
  </si>
  <si>
    <t xml:space="preserve">FAB-METROLOGY</t>
  </si>
  <si>
    <t xml:space="preserve">101632</t>
  </si>
  <si>
    <t xml:space="preserve">SIGMAMELTEC</t>
  </si>
  <si>
    <t xml:space="preserve">MRC8000</t>
  </si>
  <si>
    <t xml:space="preserve">MASK CLEAN TOOL - 2 CHAMBER CC/FC</t>
  </si>
  <si>
    <t xml:space="preserve">103043</t>
  </si>
  <si>
    <t xml:space="preserve">Signatone</t>
  </si>
  <si>
    <t xml:space="preserve">S-1160A-8S</t>
  </si>
  <si>
    <t xml:space="preserve">Precision 200mm Manual Analytical Probe Station</t>
  </si>
  <si>
    <t xml:space="preserve">200mm Manual Probe System designed for reliable and accurate analytical 
testing of DC, CV-IV, and High-Power applications. The singular, steel 
platen provides a stable platform for up to 12micropositioners. The platen 
quick lift handle is ergonomically placed for quick up-down motion of the 
platen moving your probe tips out of contact on your DUT; this allows for 
quick X-Y positioning of the DUT stage and DUT loading and unloading. The 
platen fine adjustment knob gives users 5 micron resolution for fine Z 
adjustments for all of their probes simultaneously and allows users the 
height adjustments that they need for a variety of device sizes and shapes 
up to 1.35 inches in thickness. Mitutoyo high power microscope with one 
objective and 10X eyepieces. Microscope has x-y-z movement.� 8" chuck 
electrically isolated from� the rest of the system. Precision stage 
provides smooth, accurate X-Y-Z transitioning and has vacuum zones that 
will hold a variety of DUT sizes.</t>
  </si>
  <si>
    <t xml:space="preserve">102769</t>
  </si>
  <si>
    <t xml:space="preserve">Singulus</t>
  </si>
  <si>
    <t xml:space="preserve">SILEX II CLEANTEX 2800</t>
  </si>
  <si>
    <t xml:space="preserve">Etch - Cell Fabrication</t>
  </si>
  <si>
    <t xml:space="preserve"> In Fab - Disconnected, Decontaminated, Not Deinstalled WET PROCESSING 
SYSTEMROBOT AND RAIL DAMAGED BY NITRIC AND HF FUMES, replacement parts are 
available.Including Mainframe CLEANTEX, Ozone Generator, Water Heater, 400 
kVA Transformer, Lifting pump station, Manual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t>
  </si>
  <si>
    <t xml:space="preserve">102770</t>
  </si>
  <si>
    <t xml:space="preserve"> In Fab - Disconnected, Decontaminated, Not Deinstalled ET PROCESSING 
SYSTEMInstallation in clean roomIncluding Mainframe CLEANTEX, Ozone 
Generator, Water Heater, 400 kVA Transformer, Lifting pump station, Manual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</si>
  <si>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102771</t>
  </si>
  <si>
    <t xml:space="preserve"> In Fab - Disconnected, Decontaminated, Not Deinstalled WET PROCESSING 
SYSTEMInstallation in clean roomIncluding Mainframe CLEANTEX, Ozone 
Generator, Water Heater, 400 kVA Transformer, Lifting pump station, Manual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</si>
  <si>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102772</t>
  </si>
  <si>
    <t xml:space="preserve"> In Fab - Disconnected, Decontaminated, Not Deinstalled WET PROCESSING 
SYSTEMInstallation in clean room, assembled but not started, no chemicals 
Including Mainframe CLEANTEX, Ozone Generator, Water Heater, 400 kVA 
Transformer, Lifting pump station, Manual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</si>
  <si>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102773</t>
  </si>
  <si>
    <t xml:space="preserve">WET PROCESSING SYSTEMInstallation in clean room, assembled, not started, no 
chemicalsIncluding Mainframe CLEANTEX, Ozone Generator, Water Heater, 400 
kVA Transformer, Lifting pump station, Manual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</si>
  <si>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102774</t>
  </si>
  <si>
    <t xml:space="preserve"> New – Crated WET PROCESSING SYSTEMNEVER UNCRATED, IN STORAGE 
FACILITYIncluding Mainframe CLEANTEX, Ozone Generator, Water Heater, 400 
kVA Transformer, Lifting pump station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</si>
  <si>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102775</t>
  </si>
  <si>
    <t xml:space="preserve"> New - Crated WET PROCESSING SYSTEMNEVER UNCRATED, IN STORAGE 
FACILITYIncluding Mainframe CLEANTEX, Ozone Generator, Water Heater, 400 
kVA Transformer, Lifting pump station,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</si>
  <si>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102776</t>
  </si>
  <si>
    <t xml:space="preserve"> New – Crated WET PROCESSING SYSTEMNEVER UNCRATED, IN STORAGE 
FACILITYIncluding Mainframe CLEANTEX, Ozone Generator, Water Heater, 400 
kVA Transformer, Lifting pump station,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</si>
  <si>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102777</t>
  </si>
  <si>
    <t xml:space="preserve"> NEW UNUSED.Including Mainframe CLEANTEX, Ozone Generator, Water Heater, 
400 kVA Transformer, Lifting pump station, 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</si>
  <si>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102778</t>
  </si>
  <si>
    <t xml:space="preserve">SILEX II DHF 5600</t>
  </si>
  <si>
    <t xml:space="preserve">New crated . Including DHF5600 Mainframe, Load buffer, Unload buffer, Pump 
&amp; Chiller, Power System, Manual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t>
  </si>
  <si>
    <t xml:space="preserve">102779</t>
  </si>
  <si>
    <t xml:space="preserve"> New – Crated WET PROCESSING SYSTEMNEVER UNCRATED.Including DHF5600 
Mainframe, Load buffer, Unload buffer, Pump &amp; Chiller, Power System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t>
  </si>
  <si>
    <t xml:space="preserve">102780</t>
  </si>
  <si>
    <t xml:space="preserve"> New – Crated WET PROCESSING SYSTEMNEVER UNCRATED, IN STORAGE 
FACILITYIncluding DHF5600 Mainframe, Load buffer, Unload buffer, Pump &amp; 
Chiller, Power System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</si>
  <si>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102781</t>
  </si>
  <si>
    <t xml:space="preserve">102782</t>
  </si>
  <si>
    <t xml:space="preserve">WET PROCESSING SYSTEM Including DHF5600 Mainframe, Load buffer, Unload 
buffer, Pump &amp; Chiller, Power System NEVER UNCRATED, IN STORAGE FACILITY</t>
  </si>
  <si>
    <t xml:space="preserve">102783</t>
  </si>
  <si>
    <t xml:space="preserve"> New – Crated WET PROCESSING SYSTEMNEVER UNCRATEDIncluding DHF5600 
Mainframe, Load buffer, Unload buffer, Pump &amp; Chiller, Power System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t>
  </si>
  <si>
    <t xml:space="preserve">102784</t>
  </si>
  <si>
    <t xml:space="preserve">SILEX II ISOEDGE 5600</t>
  </si>
  <si>
    <t xml:space="preserve"> New – Crated WET PROCESSING SYSTEMNEVER UNCRATED, IN STORAGE FACILITY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</si>
  <si>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102785</t>
  </si>
  <si>
    <t xml:space="preserve">102786</t>
  </si>
  <si>
    <t xml:space="preserve">WET PROCESSING SYSTEMSYSTEM WAS UNCRATED, ASSEMBLY BEGUN, HALTED PRIOR TO 
COMPLETION, THEN RECRATED. NO CHEMICALS INTRODUCED.IN STORAGE FACILITY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 using</t>
  </si>
  <si>
    <t xml:space="preserve">102787</t>
  </si>
  <si>
    <t xml:space="preserve"> New - Crated WET PROCESSING SYSTEMSYSTEM WAS UNCRATED, ASSEMBLY BEGUN, 
HALTED PRIOR TO COMPLETION, THEN RECRATED. NO CHEMICALS INTRODUCED.IN 
STORAGE FACILITY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t>
  </si>
  <si>
    <t xml:space="preserve">102788</t>
  </si>
  <si>
    <t xml:space="preserve"> New - Crated WET PROCESSING SYSTEMNEVER UNCRATED, IN STORAGE FACILITY The 
SILEX II 12000 was specially designed for larger production volumes. With 
this mass production system about 550 MW annual capacity are possible for 
Heterojunction cell manufacturing. The SILEX II 8000 system achieves an 
output of up to 8,000 wph. The SILEX II 4000 system with a reduced batch 
size will cover a tool capacity of up to 4,000 wph for smaller volume 
production. All SILEX II systems are running with very low scrap rates down 
to 0.01 % and a high process yield.SILEX II Batch Wet Processing 
Equipment The SILEX II ALTEX machine is designed to apply IPA-free 
texturing processes, offering substantial cost advantages compared to 
traditional etching systems. This texturing process can be adjusted to the 
individual requirements of standard and advanced cell 
technologies. The SILEX II CLEANTEX combines common etching and cleaning 
steps of monocrystalline Si with advanced cleaning and conditioning 
processes. Efficient cleaning steps are an indispensable requirement to 
improve cell efficiencies and reduce operation costs. Ozone-based cleaning 
operations, applied on SILEX II wet bench, combine efficient organic and 
metal removal with an appropriate surface conditioning. Due to low chemical 
costs and consumption, simple process control and high metal removal 
efficiency, ozonized cleaning baths are the perfect substitute for 
traditional, expensive multi-step RCA cleanings, known from the solar and 
semiconductor industry. The SILEX II CLEAN is provided to run dedicated 
cleaning sequences for pre- or post-deposition processes. Depending on cell 
process flow and requirement the configuration can be designed 
individually, involving RCA or Ozone based cleanings as well as slight 
etching steps. Typical Features •   High throughput performance up to 550 
MW annual production•   High uptime up to 95 %•   Low breakage rate down to 
0.01 %•   Wafer thickness down to 120 µm (wafer size M6) (‹120 µm on 
request)•   Individual, flexible process sequencing•   Onboard scheduler 
software for throughput tuning•   Onboard performance analyzer 
software•   Ozone-enhanced cleaning and etching processes•   Short and 
stable IPA-free texturing process •   Appropriate and effective rinsing and 
drying Alkaline TexturingThe core of the current and future batch process 
applications is the alkaline texturing process of mono-crystalline silicon, 
generating pyramidal-etched surfaces with optimal light trapping, 
passivation and contacting properties. State-of-the-Art Texturing 
Additive•   Commercially available, worldwide supported •   Multiple 
pyramid size tuning options•   Short and robust etching process with large 
process window and close uniformity range•   Stable composition with long 
bath lifetime•   Non-hazardous, non-flammable, non-dangerous•   Readily 
biodegradableOzone CleaningOzone is one of the most powerful oxidizing 
agents. Effective Ozone-gas injection, low chemicalconcentrations and 
ambient process temperatures guarantee stable and highly effective process 
sequences for oxidation, cleaning and etching.   •   Reduced CoO cost 
saving effect vs. RCA cleaning (high chemical cost)•   Higher minority 
carrier lifetime (combined Si etch-back and advanced cleaning)•   Smaller 
machine footprint (reduced number of process tanks)•   Improved surface 
passivation•   Environmentally friendly process</t>
  </si>
  <si>
    <t xml:space="preserve">102469</t>
  </si>
  <si>
    <t xml:space="preserve">SMC</t>
  </si>
  <si>
    <t xml:space="preserve">INR-498-012-X007</t>
  </si>
  <si>
    <t xml:space="preserve">Thermo Chiller</t>
  </si>
  <si>
    <t xml:space="preserve">Please check pictures below form more information.</t>
  </si>
  <si>
    <t xml:space="preserve">102470</t>
  </si>
  <si>
    <t xml:space="preserve">SMC INR-498-016E-X007</t>
  </si>
  <si>
    <t xml:space="preserve">Please check pitures below form more information.</t>
  </si>
  <si>
    <t xml:space="preserve">101759</t>
  </si>
  <si>
    <t xml:space="preserve">SMT Wertheim</t>
  </si>
  <si>
    <t xml:space="preserve">Quattro Peak-M</t>
  </si>
  <si>
    <t xml:space="preserve">Vacuum Reflow Oven</t>
  </si>
  <si>
    <t xml:space="preserve">102176</t>
  </si>
  <si>
    <t xml:space="preserve">Sokudo</t>
  </si>
  <si>
    <t xml:space="preserve">DT-3000</t>
  </si>
  <si>
    <t xml:space="preserve">SOH Coater, Resist/Poly Spin coater</t>
  </si>
  <si>
    <t xml:space="preserve">102178</t>
  </si>
  <si>
    <t xml:space="preserve">SOHCoat_LIT</t>
  </si>
  <si>
    <t xml:space="preserve">102177</t>
  </si>
  <si>
    <t xml:space="preserve">Sokudo Track</t>
  </si>
  <si>
    <t xml:space="preserve">103176</t>
  </si>
  <si>
    <t xml:space="preserve">Solitec </t>
  </si>
  <si>
    <t xml:space="preserve">5100</t>
  </si>
  <si>
    <t xml:space="preserve">Manual Spin Coater</t>
  </si>
  <si>
    <t xml:space="preserve">DETAILS: SOLITEC 5100 MANUAL SPIN COATER consisting of: - Model 5100 - 
Manual Spin Coater CONDITION: Fully Reconditioned to Factory 
Specifications. 6 Month Warranty and Specifications Guarantee. 30 Day Right 
of Return. Available for Full Inspection and Demo at our Facility.</t>
  </si>
  <si>
    <t xml:space="preserve">103177</t>
  </si>
  <si>
    <t xml:space="preserve">FlexiFab </t>
  </si>
  <si>
    <t xml:space="preserve">Coater and Developer</t>
  </si>
  <si>
    <t xml:space="preserve">DETAILS: SOLITEC FLEXIFAB COATER / DEVELOPER / HOTPLATE SYSTEM consisting 
of: - Model Flexifab - Currently set up for 6" Wafers - Automated Wafer 
Handling - Coater Module - Developer Module - Hotplate Module - Cybor 
Control Module &amp; Power Supply - More Details Can be Found Here: 
http://www.solitec-wp.com/flexifab.html</t>
  </si>
  <si>
    <t xml:space="preserve">102981</t>
  </si>
  <si>
    <t xml:space="preserve">SONIX</t>
  </si>
  <si>
    <t xml:space="preserve">QUANTUM-350</t>
  </si>
  <si>
    <t xml:space="preserve">Scanning Acoustic Microscope</t>
  </si>
  <si>
    <t xml:space="preserve">100650</t>
  </si>
  <si>
    <t xml:space="preserve">Sonoscan</t>
  </si>
  <si>
    <t xml:space="preserve">C-SAM D6000</t>
  </si>
  <si>
    <t xml:space="preserve">Acoustic Microscope</t>
  </si>
  <si>
    <t xml:space="preserve">102394</t>
  </si>
  <si>
    <t xml:space="preserve">SOPRA</t>
  </si>
  <si>
    <t xml:space="preserve">EP12</t>
  </si>
  <si>
    <t xml:space="preserve">Optical Dielectric Porosity Measurement System (300mm)</t>
  </si>
  <si>
    <t xml:space="preserve">97878</t>
  </si>
  <si>
    <t xml:space="preserve">SOUTH BAY TECHNOLOGY, INC.</t>
  </si>
  <si>
    <t xml:space="preserve">IBSe DD</t>
  </si>
  <si>
    <t xml:space="preserve">IBS(Ion Coating)</t>
  </si>
  <si>
    <t xml:space="preserve">99271</t>
  </si>
  <si>
    <t xml:space="preserve">Spea</t>
  </si>
  <si>
    <t xml:space="preserve">4040</t>
  </si>
  <si>
    <t xml:space="preserve">Flying Probe</t>
  </si>
  <si>
    <t xml:space="preserve">SMT / Test</t>
  </si>
  <si>
    <t xml:space="preserve">Deinstalled and warehoused.
Please check pictures below for more information.
1. Service history of the SPEA 4040;
Maintenance and service according to the prescribed schedule and periods of 
SPEA have been performed.                            
2. Hardware config
Inline tester with 4 needles
3.Software config.
The latest Atos software 3.30 is currently installed. The calibration 
expired in January 2020.
Dongle, calibration plate, and jack are all included.
H/W Information SPEA 4040
N°
Description
45014186.148
4040 Hi-Line SPEA 4040
Including:
Print-20 error printer
Holder-10 stand for monitor and error printer
Operating system WINDOWS NT, WINDOWS 2000 or WINDOWS XP (in english)        
softwarepackage RUNPACK ATOS FLY for testsystem                        
softwarepackage DEBUGPACK ATOS FLY for test system                
softwarepackage PROGRAMPACK ATOS FLY for test system or programming station 
IMP-Neutral Files Import processor for ASCII Neutral Files (FM)             
Remote-Control Remote-operation for testsystem
45012700.070
ProgrFly-AD-Ext. BASE to TOP
INLINE-Board-Loader: motor controlled loading and unloading system          
Bottom Side Moving Heads                         
Access to the bottom side of the UUT with 2 Moving Heads
45010444.102
EscanFly-20 Electro-Scan with Flying Probes
40010936.131
OpticalTestW IOP integrated optical inspection
45011477.152
NZT-10 NET-Test
Test method to analyse the impedance of each net
45012991.153
CR 2D Barcode reader
40010789.178
BOOST80 high voltage stimuli +80V/1A
45011864.145
ImpKit-W Kit with 10 different CAD-lmport Processors
45011046.099
Layout-Editor board layout editor
COMPASS Premium
Please check attachments for S/W Information</t>
  </si>
  <si>
    <t xml:space="preserve">103178</t>
  </si>
  <si>
    <t xml:space="preserve">SPEA </t>
  </si>
  <si>
    <t xml:space="preserve">C320MX </t>
  </si>
  <si>
    <t xml:space="preserve">Semiconductor Tester</t>
  </si>
  <si>
    <t xml:space="preserve">DETAILS: SPEA C320-MX SEMICONDUCTOR TESTER W/ M300 MANIPULATOR consisting 
of: - Model: C320MX Tester - Model: M300 Manipulator - Computer - Operating 
Console</t>
  </si>
  <si>
    <t xml:space="preserve">101675</t>
  </si>
  <si>
    <t xml:space="preserve">SPTS</t>
  </si>
  <si>
    <t xml:space="preserve">AS320942</t>
  </si>
  <si>
    <t xml:space="preserve">Pegasus ESC H.V unit Type A-(PN:AS320942)</t>
  </si>
  <si>
    <t xml:space="preserve">102623</t>
  </si>
  <si>
    <t xml:space="preserve">Omega 201</t>
  </si>
  <si>
    <t xml:space="preserve">Plasma Dry etcher</t>
  </si>
  <si>
    <t xml:space="preserve">SPTS Omega 2001 Dry etcher.
Has been partially stripped for spares. See attached photos for details.
Gases used:Ar, BCl3, Cl2, HBr, He, N2, O2, SF6
Located at our warehouse in Boerne, TX 78006 USA</t>
  </si>
  <si>
    <t xml:space="preserve">91877</t>
  </si>
  <si>
    <t xml:space="preserve">SSM</t>
  </si>
  <si>
    <t xml:space="preserve">470i</t>
  </si>
  <si>
    <t xml:space="preserve">CV Plotter</t>
  </si>
  <si>
    <t xml:space="preserve">101848</t>
  </si>
  <si>
    <t xml:space="preserve">ST Automation</t>
  </si>
  <si>
    <t xml:space="preserve">MT32SX</t>
  </si>
  <si>
    <t xml:space="preserve">Automated Flash Memory Testing System</t>
  </si>
  <si>
    <t xml:space="preserve">A complete and fully functional ST Automation manufactured Flash Memory 
Testing System, consisting of the following parts:-
1. Test head , crate size 187 cm x 137 cm x 147 cm (h)
2. Boards from inside the test head, crate size 125 cm x 90 cm x 90 cm
3. Systrama Manipulator , crate size 187 x 167 x 195 cm
Physical size of manipulator: 145 cm x 135 cm x 160 cm (h).
4. Tester Main Body 107 cm x 87 cm x 125 cm
5. Grill and separaters 177 cm x 157 cm x 215 cm, 2,500 kg
-The system is complete and includes all the system manuals, software etc., 
necessary for operation, and is located at our warehouse in Avezzano (AQ) 
67051 Italy.
The Tester includes qty 16 of ST Micro U1983B QT200Mtxx 256 Mb Eprom Flash 
Test Head modules.
-See attached photos for details.</t>
  </si>
  <si>
    <t xml:space="preserve">102494</t>
  </si>
  <si>
    <t xml:space="preserve">Automated Flash Memory Testing System FOR TESTING 256 MB MEMORY</t>
  </si>
  <si>
    <t xml:space="preserve">A complete and fully functional ST Automation manufactured Flash Memory 
Testing System, consisting of the following parts:-
1. Test head , crate size 187 cm x 137 cm x 147 cm (h)
2. Boards from inside the test head, crate size 125 cm x 90 cm x 90 cm
3. Systrama Manipulator , crate size 187 x 167 x 195 cm
Physical size of manipulator: 145 cm x 135 cm x 160 cm (h).
4. Tester Main Body 107 cm x 87 cm x 125 cm
5. Grill and separaters 177 cm x 157 cm x 215 cm, 2,500 kg
-The system is complete and includes all the system manuals, software etc., 
necessary for operation, and is located at our warehouse in Avezzano (AQ) 
67051 Italy.
The Tester includes qty 16 of ST Micro U1983B QT200Mtxx 256 Mb Eprom Flash 
Test Head modules.
-See attached photos for details.
-This system was only installed, but never actually used., so it is in 
"like New" condition.</t>
  </si>
  <si>
    <t xml:space="preserve">103119</t>
  </si>
  <si>
    <t xml:space="preserve">Steag</t>
  </si>
  <si>
    <t xml:space="preserve">ASC-5500</t>
  </si>
  <si>
    <t xml:space="preserve">Reticle Cleaner</t>
  </si>
  <si>
    <t xml:space="preserve">Current Condition: Installed - In Production - RETICLE CLEANER</t>
  </si>
  <si>
    <t xml:space="preserve">102395</t>
  </si>
  <si>
    <t xml:space="preserve">ElectroDep 2000</t>
  </si>
  <si>
    <t xml:space="preserve">Pb/Sn Plating Tool</t>
  </si>
  <si>
    <t xml:space="preserve">100046</t>
  </si>
  <si>
    <t xml:space="preserve">STI</t>
  </si>
  <si>
    <t xml:space="preserve">TR-48II</t>
  </si>
  <si>
    <t xml:space="preserve">Tape &amp; Reel</t>
  </si>
  <si>
    <t xml:space="preserve">100047</t>
  </si>
  <si>
    <t xml:space="preserve">101351</t>
  </si>
  <si>
    <t xml:space="preserve">Strasbaugh</t>
  </si>
  <si>
    <t xml:space="preserve">6EC</t>
  </si>
  <si>
    <t xml:space="preserve">Wafer Planarizer</t>
  </si>
  <si>
    <t xml:space="preserve">99906</t>
  </si>
  <si>
    <t xml:space="preserve">STRASBAUGH</t>
  </si>
  <si>
    <t xml:space="preserve">7AFB</t>
  </si>
  <si>
    <t xml:space="preserve">Wafer Grinder</t>
  </si>
  <si>
    <t xml:space="preserve">Currently setup for 150mm wafers
Can support wafers sizes (75, 100, 125, 150mm)
Wafergrind / Backgrind 
Dual Input / Output wafer cassettes 
3 arm, two position pick and place robot
Please check pictures below for more information.</t>
  </si>
  <si>
    <t xml:space="preserve">96023</t>
  </si>
  <si>
    <t xml:space="preserve">STRUERS</t>
  </si>
  <si>
    <t xml:space="preserve">LABOPOL-5</t>
  </si>
  <si>
    <t xml:space="preserve">LABORATORY POLISHER</t>
  </si>
  <si>
    <t xml:space="preserve">96024</t>
  </si>
  <si>
    <t xml:space="preserve">95631</t>
  </si>
  <si>
    <t xml:space="preserve">STS (SPTS)</t>
  </si>
  <si>
    <t xml:space="preserve">Multiplex ICP</t>
  </si>
  <si>
    <t xml:space="preserve">Deep Reactive Ion Etcher</t>
  </si>
  <si>
    <t xml:space="preserve">Full working order at shutdown.
Chamber configuration:    
 Deep Silicon Etch Process Package  
 SOI Trench Etch Package  
 Gasline:    Valve‐MFC‐Filter (VCR) (Qty. 4x units included)  
 ICP 240BF Source (ASE‐exc.PSU and Matching Unit)  
 Electrode Temperature Control (+5 to +40deg C)   Multiplex ICP SC160M 
Process Chamber (MESC)  
 Mechanical Wafer Clamp Electrode(tripod) with He Backside Cooling  
 300/30W (13.56MHz) RF Supply and Matching Unit  
 1kW (13.56MHz) RF Supply and Matching Unit  
 Chamber parts for 1x150mm substrate (Mechanical Clamping)  
 Turbo Pump: Leybold MAG900CT   Dry Pump:    Edwards iQDP80 (M)  
 Process Chamber: ICP V2 unified ISO250 (inc. insulation spacers) SR with 
160 adaptor  
 Chamber Externals: ICP V2 (inc. Edwards D146 penning gauge + MKS 51A &amp; 
SMC ZSE6B  
pressure switches + Edwards 655 100mT cap. man. gauge + NW16 bypass pump 
line)  
 Chamber Insulation Jackets: None  
 Lower Electrode: ICP WTC Tripod Lift  
 Electrode Temp Monitoring: None  
 Substrate Clamping/ Platen: ICP WTC Tripod 150mm   Lower RF Enclosure/ 
MU:ICP V2 WTC H/F + L/F (SOI)  
 Electrode Lift Stops:   96mm (136mm electrode spacing)  
 HBC Assy: ICP V2 (inc.Tylan CDLD 10T cap. man gauge + Tylan FC2901 50sccm 
He cal. MFC)  
 HBC Delay Unit:     None  
 Upper Electrode:   With aperture mounting  
 Upper Electrode Aperture:     None   Upper Electrode Source:   ICP Balun 
 Upper RF Enclosure/ MU:Balun 1kW (high cool)  
 Chamber Lid:     ICP Heated  
 Electrode Switching:     None
 RF Generators:    Upper:    ENI ACG10B 1kW (13.56MHz) +Lower:    ENI 
ACG3B 300/30W  
(13.56MHz) +LF5+pulse gen+switchgunit  
 APC/ Hivac Valve:   VAT Series 65 DN160 + PM7  
 Turbo Pump:Leybold MAG900CT (DN200 ‐ inc.Norcal NW40 foreline valve + MKS 
750B 10T  
cap. man. + purge PS305259)  
 Bypass Pumping:   Automatic NW16  
 Heated Foreline:   ICP  
 Pumping Line:   NW40 (1m)  
 Backing Pump:   Edwards iQDP80(M)  
 Pump Acoustic Panels:None  
 Backing Pump Interface:Edwards iQDP80 (STSCR287)  
 Pump N2 Trip Level (l/min):See gas schematics  
 Lower Electrode Cooling:   Affinity RWA‐012J  
 Chamber Heating:Watlow 4x 700W cartridge heaters  
 Upper Electrode Cooling:   None  
 Platen Chiller Temp Monitoring:   Proteus flowswitch only  
 Chiller Transformers:   None  
 Stacking Frame:   None  
 Gasbox:   Mini ‐ 4 line (inc. 1x PFC1 module)  
 Solid Source:   None  
 Vapour/ Liquid Delivery Unit:   None  
 Low Temp. Gas Interlock:   None  
 End Point Detector:   None  
 End Point Detector Options:   None  
 Chamber Lid Lift:   None  
 Chamber Cover Panels:   ICP V2  
 Process Computer:   None   Computer Monitor:None  
 E‐Rack Electronics Modules:   ICP V2 (HCL1 +DIW +HCU3 +HCU5 +VAC3Y +2x 
AMC1  
+HBC2)  
 Warning Labels:   English  
 Substrate Lift Type:   Tripod  
 Platen Type:   Domed  
 Electrode Shield:   Alumina, Round  
 Clamp Type:   Standard WTC  
Gases:
Gas Name
MFC Size
(sccm)
Normal
(Yes/no)
MFC No.
Seal Type
Line Type
Gas Type
(Clean/Process)
C4F8(S)
SF6(S)
200
300
Yes
Yes
236365
236365
Viton
Viton
G12
G12
C
C
O2(S)
100
No
237047
Viton
G12
C
Ar
100
No
237047
Viton
G12
C/P
Notes:    
G12, G15 &amp; G16 gaslines have Inlet Valve  
G15 &amp; G16 gaslines have Bypass &amp; Purge line including Purge Valve  
G16 &amp; G18 gaslines have NOValve Hardware Interlock  
(S) denoted 'Switched' Gasline, (SP) denotes 'Spare' Gasline  
Loadlock Configuration:  
 Carousel Vacuum Loadlock  
 Carousel Loadlock Parts for 2x 150mm Substrates  
 Rotary Pump: Edwards E2M40F (Fomblin)  
 Loadlock:    MMPlexMkIV ‐ R/H (standard ‐ inc. SMC XLD softpump valve + 
Edwards APG  
pirani gauge + MKS 51A pressure switch)  
 Loadlock Cable Kit:   
 Loadlock Spatula:   MMPlex carousel variable 2x 150mm  
 Loadlock Pallet: None  
 Loadlock Adaptor:   MMPlex Carousel (inc. wafer sense laser &amp; SMAC 
actuator)  
 MACs Robot:      None   MACs Spatula:    None   Wafer Aligner:    None  
 Rectangular Gate Valve:   VAT DN46 x 236  
 Thermal Break Kit:   For VAT DN46 x 236 gate valve  
 Compressed Air Backup:  V2 high pressure vent   Turbo Pump:   None 
(Norcal NW40 angle valve)  
 Backing Pump:Edwards E2M40F 208V 60Hz  
 Backing Pump Interface:   Edwards E2M40F (ST8111‐035)  
 Pump N2 Trip Level (l/min): See Gas Schematics  
 N2 Bleed:   Yes  
 Pumping Line:   ISO40 (1m)  
 </t>
  </si>
  <si>
    <t xml:space="preserve">99829</t>
  </si>
  <si>
    <t xml:space="preserve">Primaxx HR ICP</t>
  </si>
  <si>
    <t xml:space="preserve">98497</t>
  </si>
  <si>
    <t xml:space="preserve">SUSS</t>
  </si>
  <si>
    <t xml:space="preserve">ACS200</t>
  </si>
  <si>
    <t xml:space="preserve">Photoresist coater and developer track, 1C, 1 D</t>
  </si>
  <si>
    <t xml:space="preserve">Deinstalled, warehoused. Can be inspected by appointment.
See attached photos for details of condition etc.
There is a photograph giving details of the system configuration attached.</t>
  </si>
  <si>
    <t xml:space="preserve">103044</t>
  </si>
  <si>
    <t xml:space="preserve">Suss</t>
  </si>
  <si>
    <t xml:space="preserve">PM8</t>
  </si>
  <si>
    <t xml:space="preserve">200mm Precision Manual Analytical Prober</t>
  </si>
  <si>
    <t xml:space="preserve">Manual submicron semiconductor wafer probe station for failure analysis and 
in process testing. Prober has the optional high frequency chuck B00-100351 
and three PH110 Magnetic base probe manipulators for RF or DC testing. Also 
included is a SUSS pneumatic vibration isolation table with a granite top 
for rigidity and temperature stability. The PM8 provides stability and 
resolution required for precise probe positioning. The Fine-Glide chuck 
stage is as fast as a motorized stage, but has the simplicity and 
resolution of a manual system.� Along with an 8" X-Y motion, the chuck Z 
axis also has a 10mm load stroke. The platen has enough area and heavy mass 
to provide extreme rigidity and accessibility to the probeheads. Platen Z 
travel has 45mm of linear motion with 400 micron contact separation stroke. 
The stereozoom microscope lifts manually or pneumatically with a minimum of 
three inches clearance.</t>
  </si>
  <si>
    <t xml:space="preserve">98426</t>
  </si>
  <si>
    <t xml:space="preserve">Suss MicroTec</t>
  </si>
  <si>
    <t xml:space="preserve">Delta 20T</t>
  </si>
  <si>
    <t xml:space="preserve">Spin Coater</t>
  </si>
  <si>
    <t xml:space="preserve">Fully working at de-installation.
Can be inspected by appointment.</t>
  </si>
  <si>
    <t xml:space="preserve">101352</t>
  </si>
  <si>
    <t xml:space="preserve">Delta 80-RC</t>
  </si>
  <si>
    <t xml:space="preserve">Resist Coater</t>
  </si>
  <si>
    <t xml:space="preserve">103014</t>
  </si>
  <si>
    <t xml:space="preserve">Suss Microtech</t>
  </si>
  <si>
    <t xml:space="preserve">Gamma 60</t>
  </si>
  <si>
    <t xml:space="preserve">Coating and Developing Cluster Tool</t>
  </si>
  <si>
    <t xml:space="preserve">CE Marked. Number of Photoresist Develop Stations: 1 Number of Photoresist 
Dispenses: 3 Number of Developer Dispensers: 3 Number of Developer Rinse 
Dispensers: 2 Number of Vapor Prime Hot Plates: 1 Number of Hot Plates: 2 
Number of Chill Plates: 1 Number of Cassette Elevators: 3 Wafer Edge Bead 
Removal: YES Wafer Backside Rinse: YES Wafer Handling Standard Robot 
Accessories (2) Julabo Model F25 Chillers Other Information System 
currently for both 2" and 3" substrates. Genmark Model GENCOBOT IV Power 
requirements: 400V, 3 phase, 50/60 Hz. NB: Transformer can be fitted to 
customer required voltage.</t>
  </si>
  <si>
    <t xml:space="preserve">101353</t>
  </si>
  <si>
    <t xml:space="preserve">SVG</t>
  </si>
  <si>
    <t xml:space="preserve">8600</t>
  </si>
  <si>
    <t xml:space="preserve">98427</t>
  </si>
  <si>
    <t xml:space="preserve">Dual Track Coat/Develop 00mm</t>
  </si>
  <si>
    <t xml:space="preserve">101355</t>
  </si>
  <si>
    <t xml:space="preserve">8800 Coaters and Developers</t>
  </si>
  <si>
    <t xml:space="preserve">87469</t>
  </si>
  <si>
    <t xml:space="preserve">TAKATORI</t>
  </si>
  <si>
    <t xml:space="preserve">ATM-1100E</t>
  </si>
  <si>
    <t xml:space="preserve">Automatic Wafer Taper</t>
  </si>
  <si>
    <t xml:space="preserve">TAKATORI ATM-1100E Wafer Tape Laminating Tool, Serial # 10816A; Mfd. 10, 
1997
    * Dual Cassette Wafer Loading Platforms for 100mm - 200mm Wafers
    * 3 Axis Wafer Loading Robot for 150mm &amp; 200mm Wafers
    * 5-Phase 0.18º Stepping Motor for Flat Positioning
    * Scoring Chuck for 150-200mm Wafers
    * Heated Knife Cutting Assembly
    * Automatic Tape End Sensors
    * Automatic Take Up Reel Full Sensors
    * Automatic Missing Tape Sensors
    * Wafer Laminated with Tape is Pressed by Rotating Silicone Rubber
      Roller
    * Tape Thickness: 0.10 mm to 0.20 mm; Viscosity: Approx. 200 g/25 mm
    * ADVANTECH MBPC-641 PC Controller
    * 3ea TAKATORI ES-II Controller for Robot Operations with Program Cards
    * TAKATORI E113012 DC Output PCB
    * OMRON C-200HS Programmable Controller
          o OMRON C-200H-BC081-V2 CPU Base Unit with C-200HS-CPU01 CPU
            Module
          o 2ea OMRON ID217, 2ea OMRON OD219 &amp; 1ea OMRON MD215 Modules
    * OMRON 61F-GP-N Floatless Level Switch
    * SHINDENGEN EY244R5U DC Power Supply
    * SHINDENGEN EY05003U DC Power Supply
    * 1ea SUNX DPX-100 Vacuum Sensor
    * 5ea SUNX DPX-200 Vacuum Sensor
    * 2ea SUNX DPX-110 Pressure Sensor
    * 1ea SUNX DPX-210 Pressure Sensor
    * Input Power: 110VAC, 1 Ph., 60 Hz
    * Terms: 100% with Order
    * Delivery: Immediate on payment
    * Ex Works: Our warehouse, TX (Buyer Pays all Crating, Import and
      Transportation Charges)
    * Availability: Subject to Prior Sale</t>
  </si>
  <si>
    <t xml:space="preserve">87470</t>
  </si>
  <si>
    <t xml:space="preserve">ATM-2100 </t>
  </si>
  <si>
    <t xml:space="preserve">Automatic Wafer Detaper</t>
  </si>
  <si>
    <t xml:space="preserve">102895</t>
  </si>
  <si>
    <t xml:space="preserve">Takatori</t>
  </si>
  <si>
    <t xml:space="preserve">ATM-8100</t>
  </si>
  <si>
    <t xml:space="preserve">102896</t>
  </si>
  <si>
    <t xml:space="preserve">ATRM-2100</t>
  </si>
  <si>
    <t xml:space="preserve">Automatic Detaping System, Detaper, Tape Remover</t>
  </si>
  <si>
    <t xml:space="preserve">87471</t>
  </si>
  <si>
    <t xml:space="preserve">ATRM-2100D</t>
  </si>
  <si>
    <t xml:space="preserve">TAKATORI ATRM-2100D Wafer Tape Removal Tool, Serial # 10817; Mfd. 10, 1997
Dual Cassette Wafer Loading Platforms for 100mm - 200mm Wafers
3 Axis Wafer Loading Robot for 150mm &amp; 200mm Wafers
Automatic Wafer Flat Finding &amp; Missing Peeler Tape Sensors
SIMCO Electrostatic Elimination System
Tape Peeling Table
25W Reversible Motor with Speed Controller and Brake
Traverse Stroke:  Max. 200mm
Tape Coiling:  15W Reversible Motor with Speed Controller and Torque Motor
2ea TAKATORI ES-II Controller for Robot Operations 
OMRON C-200HS Programmable Controller
OMRON C-200H-BC081-V2 CPU Base Unit with C-200HS-CPU01 CPU Module
2ea OMRON ID217, 2ea OMRON OD219 &amp; 1ea OMRON MD215 Modules
Input Power: 110VAC, 1 Ph., 60 Hz
Terms:  100% with Order
Delivery:  Immediate on payment
Ex Works: Our warehouse, TX  (Buyer Pays all Crating, Import and 
Transportation Charges)
Availability: Subject to Prior Sale</t>
  </si>
  <si>
    <t xml:space="preserve">101857</t>
  </si>
  <si>
    <t xml:space="preserve">Tayo Nippon Sanso</t>
  </si>
  <si>
    <t xml:space="preserve">UR25K429</t>
  </si>
  <si>
    <t xml:space="preserve">GaNi MOCVD System (6"x7)</t>
  </si>
  <si>
    <t xml:space="preserve">The tool was professionally decommissioned, crated and put into storage.
System weight: 3500 Kg
Full specification available upon request.
Please check pictures below for more information.</t>
  </si>
  <si>
    <t xml:space="preserve">103120</t>
  </si>
  <si>
    <t xml:space="preserve">TDK</t>
  </si>
  <si>
    <t xml:space="preserve">AFM-1503</t>
  </si>
  <si>
    <t xml:space="preserve">Flip Chip Bonder - Bonder</t>
  </si>
  <si>
    <t xml:space="preserve">Current Condition: In Fab - Disconnected, Decontaminated, Deinstalled - TDK 
Corporation AFM-1503 Compact Ultrasonic Bonder - Country of Origin: Japan 
Maximum Wafer Size: 8 Inches Does NOT include computer seen on top of 
machine Manufacturer Name:�TDK Corporation Year:2014 CE marked:�NO Model: 
AFM-1503 Type of Media Handler:��WAFER Voltage:200 VOLTS Frequency:50/60 
HERTZ Phase:3 Current:30 AMPS Recommended Packaging Form:�CRATE - 
Dimensions: Standard Overall:63 x 53 x 86 IN - 3527 LBS Metric 1600.20 x 
1346.20 x 2184.40 mm - 1599.85 kg</t>
  </si>
  <si>
    <t xml:space="preserve">103121</t>
  </si>
  <si>
    <t xml:space="preserve">103122</t>
  </si>
  <si>
    <t xml:space="preserve">103123</t>
  </si>
  <si>
    <t xml:space="preserve">Current Condition: In Fab - Disconnected, Decontaminated, Deinstalled - TDK 
Corporation AFM-1503 Compact Ultrasonic Bonder - Country of Origin: Japan 
Maximum Wafer Size: 8 Inches Does NOT include computer seen on top of 
machine Manufacturer Name:�TDK Corporation Year:2014 7 CE marked:�NO Model: 
AFM-1503 Type of Media Handler:��WAFER Voltage:200 VOLTS Frequency:50/60 
HERTZ Phase:3 Current:30 AMPS Recommended Packaging Form:�CRATE - 
Dimensions: Standard Overall:63 x 53 x 86 IN - 3527 LBS Metric 1600.20 x 
1346.20 x 2184.40 mm - 1599.85 kg</t>
  </si>
  <si>
    <t xml:space="preserve">103124</t>
  </si>
  <si>
    <t xml:space="preserve">103125</t>
  </si>
  <si>
    <t xml:space="preserve">102789</t>
  </si>
  <si>
    <t xml:space="preserve">AFM-1505</t>
  </si>
  <si>
    <t xml:space="preserve"> In Fab - Disconnected, Decontaminated, Not Deinstalled 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t>
  </si>
  <si>
    <t xml:space="preserve">102790</t>
  </si>
  <si>
    <t xml:space="preserve">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t>
  </si>
  <si>
    <t xml:space="preserve">102791</t>
  </si>
  <si>
    <t xml:space="preserve"> 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morere</t>
  </si>
  <si>
    <t xml:space="preserve">102792</t>
  </si>
  <si>
    <t xml:space="preserve"> In Fab - Disconnected, Decontaminated, Not Deinstalled 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t>
  </si>
  <si>
    <t xml:space="preserve">102793</t>
  </si>
  <si>
    <t xml:space="preserve"> In Fab - Disconnected, Decontaminated, DeinstalledTDK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t>
  </si>
  <si>
    <t xml:space="preserve">102794</t>
  </si>
  <si>
    <t xml:space="preserve"> In Fab - Disconnected, Decontaminated, Deinstalled  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t>
  </si>
  <si>
    <t xml:space="preserve">102795</t>
  </si>
  <si>
    <t xml:space="preserve"> In Fab - Disconnected, Decontaminated, Deinstalled TDK Corporation 
AFM-1505 Compact Ultrasonic BonderFeature :• Flexible design for the 
various process (Ultrasonic· Thermosonic • C4 • Thermal Compression· 
Eutectic • Transfer etc.)• Process and machine proposal based on the 
sufficient experiencesPre heater tableBond heater tableAuto nozzle 
cleaningUltrasonic checkingBump collapse height measurementBump absence 
detectionBad mark detectionWafer theta axis correctionWafer expansionHot 
blowNozzle surface monitoringLANNozzle bonding counterProduction management 
dataSpecifications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mm)Chip Size MIN: 0.3WX 
0.3DX 0.1T mmChip Supply : 5-. 6, B, 12 Inch Wafer, Tray etc (Wafer 
magazine auto loading)Substrate Size MAX: 180W X 120D X 3.0T mm (Option 
MAX: 8 inch wafer) Substrate Size MIN: 50W X 50D X 0.3T mm Substrate Supply 
: Substrate• Package Tray•Wafer Tray etc. Machine Size : 1,200W X1 ,504D X1 
,650H mm Machine Weight : approx. 1,800kgPower : AC200V or AC220V 3phase 
50/60Hz 30A Compressed Air : Pressure : 0.5Mpa Consumption :approx. 
30NL/min Connection: R 1/4 or Joint for 10mm tube Vacuum : -80 kPa or more</t>
  </si>
  <si>
    <t xml:space="preserve">103126</t>
  </si>
  <si>
    <t xml:space="preserve"> TDK Corporation AFM-1505 Compact Ultrasonic Bonder - Feature : • Flexible 
design for the various process (Ultrasonic· Thermosonic • C4 • Thermal 
Compression· Eutectic • Transfer etc.) • Process and machine proposal based 
on the sufficient experiences Pre heater table Bond heater table Auto 
nozzle cleaning Ultrasonic checking Bump collapse height measurement Bump 
absence detection Bad mark detection Wafer theta axis correction Wafer 
expansion Hot blow Nozzle surface monitoring LAN Nozzle bonding counter 
Production management data - Specifications :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 Chip Size MIN: 0.3WX 0.3DX 0.1T mm Chip Supply : 5-. 6, B, 12 Inch 
Wafer, Tray etc (Wafer magazine auto loading) Substrate Size MAX: 180W X 
120D X 3.0T mm (Option MAX: 8 inch wafer) Substrate Size MIN: 50W X 50D X 
0.3T mm Substrate Supply : Substrate• Package Tray•Wafer Tray etc. 
Machine Size : 1,200W X1 ,504D X1 ,650H mm Machine Weight : approx. 1,800kg 
Power : AC200V or AC220V 3phase 50/60Hz 30A Compressed Air : Pressure : 
0.5Mpa Consumption :approx. 30NL/min Connection: R 1/4 or Joint for 10mm 
tube Vacuum : -80 kPa or more</t>
  </si>
  <si>
    <t xml:space="preserve">103127</t>
  </si>
  <si>
    <t xml:space="preserve">Current Condition: In Fab - Disconnected, Decontaminated, Deinstalled - TDK 
Corporation AFM-1505 Compact Ultrasonic Bonder - Feature : • Flexible 
design for the various process (Ultrasonic· Thermosonic • C4 • Thermal 
Compression· Eutectic • Transfer etc.) • Process and machine proposal based 
on the sufficient experiences Pre heater table Bond heater table Auto 
nozzle cleaning Ultrasonic checking Bump collapse height measurement Bump 
absence detection Bad mark detection Wafer theta axis correction Wafer 
expansion Hot blow Nozzle surface monitoring LAN Nozzle bonding counter 
Production management data - Specifications : Method : Face Down Flip Chip 
Bonding (Option: Face Up / High Precision Mounting) Bonding Process : 
Ultrasonic· Thermosonic • C4 • Thermal Compression· Eutectic· Transfer etc. 
Mounting Tact Time : MAX: 0.78sec/chip (Including 0.2sec process time) 
Accuracy : ±7µm/3o (Option ±5µm,±3µm) Max Load : 25N (Option 50N, 1 DON, 
200N, 500N) Chip Size MAX: 2.5W X 2.50 X 1.0T mm  (Option MAX:20.0W X 20.00 
mm) Chip Size MIN: 0.3WX 0.3DX 0.1T mm Chip Supply : 5-. 6, B, 12 Inch 
Wafer, Tray etc (Wafer magazine auto loading) Substrate Size MAX: 180W X 
120D X 3.0T mm (Option MAX: 8 inch wafer) Substrate Size MIN: 50W X 50D X 
0.3T mm Substrate Supply : Substrate• Package Tray•Wafer Tray etc. 
Machine Size : 1,200W X1 ,504D X1 ,650H mm Machine Weight : approx. 1,800kg 
Power : AC200V or AC220V 3phase 50/60Hz 30A Compressed Air : Pressure : 
0.5Mpa Consumption :approx. 30NL/min Connection: R 1/4 or Joint for 10mm 
tube Vacuum : -80 kPa or more</t>
  </si>
  <si>
    <t xml:space="preserve">103128</t>
  </si>
  <si>
    <t xml:space="preserve">102796</t>
  </si>
  <si>
    <t xml:space="preserve">Tecdia</t>
  </si>
  <si>
    <t xml:space="preserve">TEC-1228AL</t>
  </si>
  <si>
    <t xml:space="preserve">Wafer Breaker - LED Wafer Saw</t>
  </si>
  <si>
    <t xml:space="preserve">Tecdia TEC-1228AL Fully Automatic Wafer Breaking MachineMade in JapanThis 
unit was only used for a qualification after its 
installation.Specifications:Manufacturer Name: Tecdia Year:2017Serial 
Number:1037 CE marked: YES Model: TEC-1228AL Voltage:220 
VOLTSFrequency:50/60 HERTZPhase:1 Recommended Packaging Form: CRATE 
Dimensions:StandardOverall:37 x 60 x 85 IN – 1433 LBSMetric939.80 x 1524.00 
x 2159.00 mm - 650.01 kg</t>
  </si>
  <si>
    <t xml:space="preserve">103184</t>
  </si>
  <si>
    <t xml:space="preserve">Technics</t>
  </si>
  <si>
    <t xml:space="preserve">SP1000-1-A2</t>
  </si>
  <si>
    <t xml:space="preserve">Functioning, still active 1. Power Consumption: 200 KVA 2. Temp Range: 18 
-140�C Exterior Dimensions: Width 62.992 in (160.0 cm) Height 80.709 in 
(205.0 cm) Weight 23,148 lb (10,500 kg)</t>
  </si>
  <si>
    <t xml:space="preserve">101356</t>
  </si>
  <si>
    <t xml:space="preserve">Technos</t>
  </si>
  <si>
    <t xml:space="preserve">TREX610T</t>
  </si>
  <si>
    <t xml:space="preserve">Total Reflection X-Ray Flourescence Spectrometer</t>
  </si>
  <si>
    <t xml:space="preserve">97879</t>
  </si>
  <si>
    <t xml:space="preserve">Tektronix</t>
  </si>
  <si>
    <t xml:space="preserve">1745A</t>
  </si>
  <si>
    <t xml:space="preserve">Oscilloscope</t>
  </si>
  <si>
    <t xml:space="preserve">61198</t>
  </si>
  <si>
    <t xml:space="preserve">TEKTRONIX</t>
  </si>
  <si>
    <t xml:space="preserve">7704</t>
  </si>
  <si>
    <t xml:space="preserve">97880</t>
  </si>
  <si>
    <t xml:space="preserve">TDS380</t>
  </si>
  <si>
    <t xml:space="preserve">97881</t>
  </si>
  <si>
    <t xml:space="preserve">TDS5054</t>
  </si>
  <si>
    <t xml:space="preserve">97882</t>
  </si>
  <si>
    <t xml:space="preserve">TDS684A</t>
  </si>
  <si>
    <t xml:space="preserve">98040</t>
  </si>
  <si>
    <t xml:space="preserve">TDS720P</t>
  </si>
  <si>
    <t xml:space="preserve">97883</t>
  </si>
  <si>
    <t xml:space="preserve">TDS754C</t>
  </si>
  <si>
    <t xml:space="preserve">97884</t>
  </si>
  <si>
    <t xml:space="preserve">TDS754D</t>
  </si>
  <si>
    <t xml:space="preserve">97885</t>
  </si>
  <si>
    <t xml:space="preserve">TLA714</t>
  </si>
  <si>
    <t xml:space="preserve">Logic Analyzer</t>
  </si>
  <si>
    <t xml:space="preserve">97886</t>
  </si>
  <si>
    <t xml:space="preserve">102647</t>
  </si>
  <si>
    <t xml:space="preserve">TEL (Tokyo Electron Ltd)</t>
  </si>
  <si>
    <t xml:space="preserve">INDY</t>
  </si>
  <si>
    <t xml:space="preserve">Diffusion Furnace (D-POLY)</t>
  </si>
  <si>
    <t xml:space="preserve">92437</t>
  </si>
  <si>
    <t xml:space="preserve">TEL Tokyo Electron</t>
  </si>
  <si>
    <t xml:space="preserve">19S</t>
  </si>
  <si>
    <t xml:space="preserve">84543</t>
  </si>
  <si>
    <t xml:space="preserve">A303I</t>
  </si>
  <si>
    <t xml:space="preserve">Vertical furnace</t>
  </si>
  <si>
    <t xml:space="preserve">-De-installed, Warehoused. Can be inspected by appointment.</t>
  </si>
  <si>
    <t xml:space="preserve">84544</t>
  </si>
  <si>
    <t xml:space="preserve">84545</t>
  </si>
  <si>
    <t xml:space="preserve">101604</t>
  </si>
  <si>
    <t xml:space="preserve">A808SE</t>
  </si>
  <si>
    <t xml:space="preserve">93892</t>
  </si>
  <si>
    <t xml:space="preserve">ACT-12(PRB) 1C3D</t>
  </si>
  <si>
    <t xml:space="preserve">Photoresist Coater and Developer track</t>
  </si>
  <si>
    <t xml:space="preserve">Deinstalled, warehoused. Can be inspected by appointment. The detailed 
configuration is available on request.
Please check pictures below for more information</t>
  </si>
  <si>
    <t xml:space="preserve">99547</t>
  </si>
  <si>
    <t xml:space="preserve">TEL TOKYO ELECTRON</t>
  </si>
  <si>
    <t xml:space="preserve">ACT12(1C2D)</t>
  </si>
  <si>
    <t xml:space="preserve">Photoresist coater and developer track</t>
  </si>
  <si>
    <t xml:space="preserve">De-installed, warehoused. Inspection is available by appointment.
-In-line - 1 Coat 2 Dev
-CSB
-Chemical Box Nr. 1 
-Thermo controller Nr. 1
-PRB1
-Power Box
-Fire System Box Nr. 1
-T&amp;H Controller Nr.1
-Fire System Box Nr. 2
-IFB
Please check pictures below for more information.</t>
  </si>
  <si>
    <t xml:space="preserve">102396</t>
  </si>
  <si>
    <t xml:space="preserve">Alpha-303i</t>
  </si>
  <si>
    <t xml:space="preserve">DCS-HTO</t>
  </si>
  <si>
    <t xml:space="preserve">91255</t>
  </si>
  <si>
    <t xml:space="preserve">ALPHA-303i</t>
  </si>
  <si>
    <t xml:space="preserve">H type / Poly</t>
  </si>
  <si>
    <t xml:space="preserve">91256</t>
  </si>
  <si>
    <t xml:space="preserve">91257</t>
  </si>
  <si>
    <t xml:space="preserve">H type / TEOS</t>
  </si>
  <si>
    <t xml:space="preserve">91258</t>
  </si>
  <si>
    <t xml:space="preserve">K type</t>
  </si>
  <si>
    <t xml:space="preserve">102397</t>
  </si>
  <si>
    <t xml:space="preserve">LP P-doped Poly</t>
  </si>
  <si>
    <t xml:space="preserve">102398</t>
  </si>
  <si>
    <t xml:space="preserve">102399</t>
  </si>
  <si>
    <t xml:space="preserve">102400</t>
  </si>
  <si>
    <t xml:space="preserve">93059</t>
  </si>
  <si>
    <t xml:space="preserve">Vertical Furnace K type / MTO</t>
  </si>
  <si>
    <t xml:space="preserve">93060</t>
  </si>
  <si>
    <t xml:space="preserve">93061</t>
  </si>
  <si>
    <t xml:space="preserve">93062</t>
  </si>
  <si>
    <t xml:space="preserve">93063</t>
  </si>
  <si>
    <t xml:space="preserve">93064</t>
  </si>
  <si>
    <t xml:space="preserve">93065</t>
  </si>
  <si>
    <t xml:space="preserve">102800</t>
  </si>
  <si>
    <t xml:space="preserve">ALPHA-303i Anneal</t>
  </si>
  <si>
    <t xml:space="preserve">Vertical Furnace ANNEAL</t>
  </si>
  <si>
    <t xml:space="preserve">102801</t>
  </si>
  <si>
    <t xml:space="preserve">102802</t>
  </si>
  <si>
    <t xml:space="preserve">102803</t>
  </si>
  <si>
    <t xml:space="preserve">102798</t>
  </si>
  <si>
    <t xml:space="preserve">Vertical Furnace CURE</t>
  </si>
  <si>
    <t xml:space="preserve"> Used, In Warehouse – Crated</t>
  </si>
  <si>
    <t xml:space="preserve">102799</t>
  </si>
  <si>
    <t xml:space="preserve">102804</t>
  </si>
  <si>
    <t xml:space="preserve">ALPHA-303i Nitride</t>
  </si>
  <si>
    <t xml:space="preserve">102806</t>
  </si>
  <si>
    <t xml:space="preserve">ALPHA-303i TEOS</t>
  </si>
  <si>
    <t xml:space="preserve">Vertical Furnace TEOS PROCESS</t>
  </si>
  <si>
    <t xml:space="preserve">102401</t>
  </si>
  <si>
    <t xml:space="preserve">Cellesta-i</t>
  </si>
  <si>
    <t xml:space="preserve">Wet Cleaning System</t>
  </si>
  <si>
    <t xml:space="preserve">102402</t>
  </si>
  <si>
    <t xml:space="preserve">Certas LEAGA</t>
  </si>
  <si>
    <t xml:space="preserve">Etch, Single wafer Dry Cleaning System</t>
  </si>
  <si>
    <t xml:space="preserve">102897</t>
  </si>
  <si>
    <t xml:space="preserve">Clean Track ACT12</t>
  </si>
  <si>
    <t xml:space="preserve">Single Block, 1C2D1IFB</t>
  </si>
  <si>
    <t xml:space="preserve">102898</t>
  </si>
  <si>
    <t xml:space="preserve">Single Block, PIQ, 1PCT1PDT</t>
  </si>
  <si>
    <t xml:space="preserve">102899</t>
  </si>
  <si>
    <t xml:space="preserve">Clean Track ACT8</t>
  </si>
  <si>
    <t xml:space="preserve">DUV, Dual Block, 4C4D1IFB, 6PHP, Full Oven Configured, Right to Left, 
4UNCs, ASML</t>
  </si>
  <si>
    <t xml:space="preserve">102900</t>
  </si>
  <si>
    <t xml:space="preserve">DUV, Dual Block, 4C4D1IFB, 4PHP, Right to Left Flow, 4SUCs SMIF, ASML</t>
  </si>
  <si>
    <t xml:space="preserve">102901</t>
  </si>
  <si>
    <t xml:space="preserve">DUV, Dual Block, 4C4D1IFB, 4PHP, Right to Left Flow, 4UNCs, ASML</t>
  </si>
  <si>
    <t xml:space="preserve">102902</t>
  </si>
  <si>
    <t xml:space="preserve">DUV, Dual Block, 3C4D1IFB, 4PHP, Right to Left Flow, 4UNCs, ASML</t>
  </si>
  <si>
    <t xml:space="preserve">102903</t>
  </si>
  <si>
    <t xml:space="preserve">DUV, Dual Block, 3C4D1IFB, 4PHP, Left to Right Flow, 4UNCs, Canon ES3</t>
  </si>
  <si>
    <t xml:space="preserve">102904</t>
  </si>
  <si>
    <t xml:space="preserve">DUV, Single Block, 2C2D1IFB, 3PHP, Right to Left Flow, 4UNCs, ASML PAS5500</t>
  </si>
  <si>
    <t xml:space="preserve">102905</t>
  </si>
  <si>
    <t xml:space="preserve">102906</t>
  </si>
  <si>
    <t xml:space="preserve">102907</t>
  </si>
  <si>
    <t xml:space="preserve">DUV, Single Block, 2C2D1IFB, 3CHP, Right to Left Flow, 4UNCs, ASML PAS5500</t>
  </si>
  <si>
    <t xml:space="preserve">102908</t>
  </si>
  <si>
    <t xml:space="preserve">DUV, Single Block, 2C2D1IFB, 3CHP, Left to Right Flow, 4UNCs, Nikon 
NSR-2205EX14C</t>
  </si>
  <si>
    <t xml:space="preserve">102809</t>
  </si>
  <si>
    <t xml:space="preserve">CLEAN TRACK LITHIUS</t>
  </si>
  <si>
    <t xml:space="preserve">Multi Block (Resist Coater/Developer)</t>
  </si>
  <si>
    <t xml:space="preserve">•300mm•2005 vintage•4x FOUP (25 wafers)•Left to Right•High speed IBFM•4x 
Coat ModulesoRGEN02 pumps (4ml type)o7x resist nozzlesoResist temp 
controloTop side EBRoRRC pre wet•4x Develop Moduleso1 SH nozzleoTop side 
rinseoDevelop temp control•2x ADH•4x HCP (high speed CPL)•4x LHP (low hot 
plate)•9x CPHP (chilling high precision hot plate)•2x WCPL (water chilling 
plate)•1x IHCP•1x CWH (cup wash holder)•1x BWEE•2x TRS•2x Cup T&amp;H control 
units•1x Develop External chemical box•ASML interface</t>
  </si>
  <si>
    <t xml:space="preserve">102807</t>
  </si>
  <si>
    <t xml:space="preserve">Single Block (Coat/Develop)</t>
  </si>
  <si>
    <r>
      <rPr>
        <sz val="8"/>
        <rFont val="Arial"/>
        <family val="0"/>
        <charset val="1"/>
      </rPr>
      <t xml:space="preserve"> Used, In Warehouse - Not Crated Tool has been de-installed and is 
currently stored in an off-site warehouse Hard Disk Drive is not included 
in tool.BLOCK DIAGRAMS ARE AVAILABLE.Tool was configured as a Stand Alone 
system.[Track Config 1]COAT cup:2Developper cup:3ADH:1[Track Config 
2]Resist Reduction:RRCDev Nozzle:SH</t>
    </r>
    <r>
      <rPr>
        <sz val="8"/>
        <rFont val="Noto Sans CJK SC"/>
        <family val="2"/>
        <charset val="1"/>
      </rPr>
      <t xml:space="preserve">、</t>
    </r>
    <r>
      <rPr>
        <sz val="8"/>
        <rFont val="Arial"/>
        <family val="0"/>
        <charset val="1"/>
      </rPr>
      <t xml:space="preserve">NLDResist pump:RDS 10ml,CRD 4ml[Oven 
Config]COT:CPHP x2DEV:CPHP x2[Track Chemicals]Resist supply:Gallon 
bottleThinner:OK73</t>
    </r>
  </si>
  <si>
    <t xml:space="preserve">102808</t>
  </si>
  <si>
    <t xml:space="preserve">Single Block (Coat/Develop) 248 NM PROCESS</t>
  </si>
  <si>
    <t xml:space="preserve">102909</t>
  </si>
  <si>
    <t xml:space="preserve">Clean Track Mark7</t>
  </si>
  <si>
    <t xml:space="preserve">Single Block, 1SCR1C2D1IFB, Left to Right Flow</t>
  </si>
  <si>
    <t xml:space="preserve">102910</t>
  </si>
  <si>
    <t xml:space="preserve">102911</t>
  </si>
  <si>
    <t xml:space="preserve">102912</t>
  </si>
  <si>
    <t xml:space="preserve">102913</t>
  </si>
  <si>
    <t xml:space="preserve">102914</t>
  </si>
  <si>
    <t xml:space="preserve">102915</t>
  </si>
  <si>
    <t xml:space="preserve">Single Block, 1C2D1SCR Right to Left Flow</t>
  </si>
  <si>
    <t xml:space="preserve">102916</t>
  </si>
  <si>
    <t xml:space="preserve">Photo Resist Coat System</t>
  </si>
  <si>
    <t xml:space="preserve">Single Block, 3C (PIQ/Polyimide Coat)</t>
  </si>
  <si>
    <t xml:space="preserve">102917</t>
  </si>
  <si>
    <t xml:space="preserve">Single Block, 2C1RSV, Right to Left Flow</t>
  </si>
  <si>
    <t xml:space="preserve">102918</t>
  </si>
  <si>
    <t xml:space="preserve">102919</t>
  </si>
  <si>
    <t xml:space="preserve">102920</t>
  </si>
  <si>
    <t xml:space="preserve">Single Block, 2C1RSV, Left to Right Flow</t>
  </si>
  <si>
    <t xml:space="preserve">102921</t>
  </si>
  <si>
    <t xml:space="preserve">102922</t>
  </si>
  <si>
    <t xml:space="preserve">102923</t>
  </si>
  <si>
    <t xml:space="preserve">102924</t>
  </si>
  <si>
    <t xml:space="preserve">Dual Block, 2C3D1IFB, Right to Left Flow</t>
  </si>
  <si>
    <t xml:space="preserve">102925</t>
  </si>
  <si>
    <t xml:space="preserve">Dual Block, 5D, Left to Right Flow</t>
  </si>
  <si>
    <t xml:space="preserve">102926</t>
  </si>
  <si>
    <t xml:space="preserve">102927</t>
  </si>
  <si>
    <t xml:space="preserve">102928</t>
  </si>
  <si>
    <t xml:space="preserve">Single Block, 4D, Right to Left Flow</t>
  </si>
  <si>
    <t xml:space="preserve">102929</t>
  </si>
  <si>
    <t xml:space="preserve">Single Block, 3D, Right to Left Flow</t>
  </si>
  <si>
    <t xml:space="preserve">102930</t>
  </si>
  <si>
    <t xml:space="preserve">102931</t>
  </si>
  <si>
    <t xml:space="preserve">102932</t>
  </si>
  <si>
    <t xml:space="preserve">102933</t>
  </si>
  <si>
    <t xml:space="preserve">102934</t>
  </si>
  <si>
    <t xml:space="preserve">102935</t>
  </si>
  <si>
    <t xml:space="preserve">Single Block, 3D, Left to Right Flow</t>
  </si>
  <si>
    <t xml:space="preserve">102936</t>
  </si>
  <si>
    <t xml:space="preserve">102937</t>
  </si>
  <si>
    <t xml:space="preserve">102938</t>
  </si>
  <si>
    <t xml:space="preserve">Clean Track Mark8</t>
  </si>
  <si>
    <t xml:space="preserve">Single Block, 2C2D1IFB, Right to Left Flow</t>
  </si>
  <si>
    <t xml:space="preserve">102939</t>
  </si>
  <si>
    <t xml:space="preserve">102940</t>
  </si>
  <si>
    <t xml:space="preserve">Single Block, 2C1D, Left to Right Flow</t>
  </si>
  <si>
    <t xml:space="preserve">101703</t>
  </si>
  <si>
    <t xml:space="preserve">CS800M</t>
  </si>
  <si>
    <t xml:space="preserve">Flat Panel Display Photoresist Coater and Developer system</t>
  </si>
  <si>
    <t xml:space="preserve">Production on this machine ended in December, 2019. This system is 
currently shut down in the fab. The equipment was in excellent, operational 
condition, before it was shut down .Inspection (Without power on) is 
available by appointment.
The CS Series of FPD coater/developers realizes high process performance 
and cost efficiency. The CS Series supports AGV/CIM, making it easy to 
introduce factory automation. It can be integrated with the CS series, as 
well as exposure systems and other peripheral equipment, such as a titler 
and edge exposure into an inline system. To reduce costs, a method of 
decreasing resist and developing fluids consumption has been implemented. 
The CS series can be connected to the recycle (mixing) system.
· Reduced footprint by common transfer machine
· High process performance and high throughput
· Flexible system layout
· High system reliability
· Substrate size: 620mm x 750mm
· Size of the equipment parts:(l x w x h, mm)
26610 X 4360 X 2200 mm (Main Body)
900 x 900 x 1845 mm, 420 KG
900 x 900 x 1845 mm, 320 KG
1430 x 952 x 1828 mm, 350 KG
1000 X 1000 X 2000 mm, 500 KG
1540 x 850 x 1403 mm, 100 KG
1300 x 780 x 1725 mm, 150 KG
440 x 700 x 925 mm, 220 KG
1140 x 935 x 450 mm, 200 KG
940 x 940 x 2100 mm, 150 KG
Basic Config:
1. C/S QTY 1
2. SCR
3. COAT QTY 1
4. ER QTY 1
5. DEV QTY 3
6. EX QTY 2
7. I/F QTY 1
 </t>
  </si>
  <si>
    <t xml:space="preserve">102574</t>
  </si>
  <si>
    <t xml:space="preserve">D204</t>
  </si>
  <si>
    <t xml:space="preserve">Chiller </t>
  </si>
  <si>
    <t xml:space="preserve">102575</t>
  </si>
  <si>
    <t xml:space="preserve">D250</t>
  </si>
  <si>
    <t xml:space="preserve">102810</t>
  </si>
  <si>
    <t xml:space="preserve">Expedius</t>
  </si>
  <si>
    <t xml:space="preserve">Batch Wafer Wet Processing</t>
  </si>
  <si>
    <t xml:space="preserve">Process: LALTank: LAL30Guide Material:PCTFEProcess Bath   
 Material:PTFETemp.:20℃Mixing Ratio (1): "LAL30 1:0"Replenishment: Time   
 YesReplenishment:Level    YesReplenishment:Recipe   
 YesReplenishment:Pre/Post/Interval    YesReplenishment:Batch Count   
 YesBath Function:Bath Autocover    YesBath Function:Bath Cleaning   
 YesBath Function:Sampling Line     YesPump        IWKI : FF-20-BT1Heater   
     Coolnics(NES-3123C-7-T)Filter        "IHAT01M01K 0.01um"Conc. 
Monitor        "CS-13M-777-18P5390340P5P5"Drain Line:WD1N     YesDrain 
Line: WD2 (Neutralization Waste Water Treatment)    YesDrain Line: WD3 (UPW 
Reclaim)    YesTank: QDRGuide Material:PCTFEProcess Bath   
 Material:QuartzTemp.:RTBath Function: Over Flow Rinse YesBath Function: 
Shower(Spray) YesDrain Line:WD1 (HF Waste Water)    YesDrain Line:WD3 (UPW 
Reclaim)    YesTank: POU1Guide Material:QuartzProcess Bath   
 Material:PTFETemp.:RT/70℃Mixing Ratio (1): HF:H2OMixing Ratio 
(2):"NH4OH:H2O2:H201:10:4001:4:4001:1:200"Mixing Ratio 
(3):"NH4OH:H2O1:100~1:200"Mixing Ratio (4):"H2O2:H2O1:15~1:200"Mixing Ratio 
(5):"HCL:H2O2:H2O 1:1:50 ~ 1:1:100"Bath Function: Over Flow Rinse YesBath 
Function: Shower(Spray) YesBath Function: Agitation YesBath Function: 
Megasonic SSDM 2800WBath Function: Hot DIW Generator PWH-144I-T-RBath 
Function:Sampling Line     YesCold DIW (Facility): 40 ~ 60 L/minHot DIW 
(Facility): 40 ~ 60 L/minConc. Monitor: "DHF/NH3 
(HF-960M)APM/HPM(CS-15M~)"Drain Line:WD1 (HF Waste Water)    YesDrain Line: 
WD2 (Neutralization Waste Water Treatment)    YesDrain Line: WD2N (Alkali 
Conc.)    YesDrain Line: WD3 (UPW Reclaim)    YesTank: POUGuide 
Material:QuartzProcess Bath    Material:PTFETemp.:RT/70℃Mixing Ratio (1): 
HF:H2OMixing Ratio (2):"NH4OH:H2O2:H201:10:4001:4:4001:1:200"Mixing Ratio 
(3):"NH4OH:H2O1:100~1:200"Mixing Ratio (4):"H2O2:H2O1:15~1:200"Mixing Ratio 
(5):"HCL:H2O2:H2O 1:1:50 ~ 1:1:100"Bath Function: Over Flow Rinse YesBath 
Function: Shower(Spray) YesBath Function: Agitation YesBath Function: 
Megasonic SSDM 2800WBath Function: Hot DIW Generator PWH-144I-T-RBath 
Function:Sampling Line     YesCold DIW (Facility): 40 ~ 60 L/minHot DIW 
(Facility): 40 ~ 60 L/minConc. Monitor: "DHF/NH3 (HF-960M)Drain Line:WD1 
(HF Waste Water)    YesDrain Line: WD2 (Neutralization Waste Water 
Treatment)    YesDrain Line: WD2N (Alkali Conc.)    YesDrain Line: WD3 (UPW 
Reclaim)    YesTank: SD2Guide Material:PCTFEProcess Bath   
 Material:PTFETemp.:RTBath Function: Over Flow Rinse YesBath Function:Bath 
Autocover    YesBath Function:N2 Purge    YesCold DIW (Facility): 40 ~ 60 
L/minFilter        PIPW15C3S (Metal)Drain Line: WD3 (UPW Reclaim)   
 YesDrain Line: WD7 (Organic Waste Water)    Yes</t>
  </si>
  <si>
    <t xml:space="preserve">102403</t>
  </si>
  <si>
    <t xml:space="preserve">EXPEDIUS</t>
  </si>
  <si>
    <t xml:space="preserve">SP1/SPM</t>
  </si>
  <si>
    <t xml:space="preserve">100933</t>
  </si>
  <si>
    <t xml:space="preserve">FORMULA</t>
  </si>
  <si>
    <t xml:space="preserve">ALD High-K Vertical Furnace</t>
  </si>
  <si>
    <t xml:space="preserve">100934</t>
  </si>
  <si>
    <t xml:space="preserve">100935</t>
  </si>
  <si>
    <t xml:space="preserve">103129</t>
  </si>
  <si>
    <t xml:space="preserve">Vertical Furnace </t>
  </si>
  <si>
    <t xml:space="preserve">98299</t>
  </si>
  <si>
    <t xml:space="preserve">Vertical LPCVD Furnace</t>
  </si>
  <si>
    <t xml:space="preserve">98300</t>
  </si>
  <si>
    <t xml:space="preserve">98301</t>
  </si>
  <si>
    <t xml:space="preserve">103147</t>
  </si>
  <si>
    <t xml:space="preserve">I/F Block (Mark8 - i11D)</t>
  </si>
  <si>
    <t xml:space="preserve">Track interface block for Nikon i11D</t>
  </si>
  <si>
    <t xml:space="preserve">98840</t>
  </si>
  <si>
    <t xml:space="preserve">100048</t>
  </si>
  <si>
    <t xml:space="preserve">Furnace</t>
  </si>
  <si>
    <t xml:space="preserve">100049</t>
  </si>
  <si>
    <t xml:space="preserve">98302</t>
  </si>
  <si>
    <t xml:space="preserve">98303</t>
  </si>
  <si>
    <t xml:space="preserve">98304</t>
  </si>
  <si>
    <t xml:space="preserve">98305</t>
  </si>
  <si>
    <t xml:space="preserve">102404</t>
  </si>
  <si>
    <t xml:space="preserve">Indy Plus</t>
  </si>
  <si>
    <t xml:space="preserve">MOL Nitride</t>
  </si>
  <si>
    <t xml:space="preserve">102405</t>
  </si>
  <si>
    <t xml:space="preserve">SIBCN</t>
  </si>
  <si>
    <t xml:space="preserve">101734</t>
  </si>
  <si>
    <t xml:space="preserve">INDY-B-L</t>
  </si>
  <si>
    <t xml:space="preserve">Vertical Anneal Furnace (HTO)</t>
  </si>
  <si>
    <t xml:space="preserve">90152</t>
  </si>
  <si>
    <t xml:space="preserve">Vertical Furnace (HTO)</t>
  </si>
  <si>
    <t xml:space="preserve">DEINSTALLED, WAREHOUSED
PROCESS: HTO SUB-ATMOSPHERIC PRESSURE</t>
  </si>
  <si>
    <t xml:space="preserve">102406</t>
  </si>
  <si>
    <t xml:space="preserve">LITHIUS</t>
  </si>
  <si>
    <t xml:space="preserve">Coat / Develop Track</t>
  </si>
  <si>
    <t xml:space="preserve">102407</t>
  </si>
  <si>
    <t xml:space="preserve">102408</t>
  </si>
  <si>
    <t xml:space="preserve">102409</t>
  </si>
  <si>
    <t xml:space="preserve">102410</t>
  </si>
  <si>
    <t xml:space="preserve">102411</t>
  </si>
  <si>
    <t xml:space="preserve">102412</t>
  </si>
  <si>
    <t xml:space="preserve">96386</t>
  </si>
  <si>
    <t xml:space="preserve">Lithius</t>
  </si>
  <si>
    <t xml:space="preserve">Lithography Coater Developer</t>
  </si>
  <si>
    <t xml:space="preserve">Please, see attached photos for more information</t>
  </si>
  <si>
    <t xml:space="preserve">102415</t>
  </si>
  <si>
    <t xml:space="preserve">Photoresist Coat Track</t>
  </si>
  <si>
    <t xml:space="preserve">102413</t>
  </si>
  <si>
    <t xml:space="preserve">Photoresist Coater</t>
  </si>
  <si>
    <t xml:space="preserve">102414</t>
  </si>
  <si>
    <t xml:space="preserve">Resist Coat/Develop</t>
  </si>
  <si>
    <t xml:space="preserve">102416</t>
  </si>
  <si>
    <t xml:space="preserve">LITHIUS Pro</t>
  </si>
  <si>
    <t xml:space="preserve">Bottom Layer PR Coating</t>
  </si>
  <si>
    <t xml:space="preserve">98306</t>
  </si>
  <si>
    <t xml:space="preserve">Mark-Vz</t>
  </si>
  <si>
    <t xml:space="preserve">Coater/Developer 1C 2D</t>
  </si>
  <si>
    <t xml:space="preserve">102417</t>
  </si>
  <si>
    <t xml:space="preserve">MBB-830</t>
  </si>
  <si>
    <t xml:space="preserve">Sputtering System</t>
  </si>
  <si>
    <t xml:space="preserve">102418</t>
  </si>
  <si>
    <t xml:space="preserve">102419</t>
  </si>
  <si>
    <t xml:space="preserve">nFusion 700</t>
  </si>
  <si>
    <t xml:space="preserve">Ion Beam Etch</t>
  </si>
  <si>
    <t xml:space="preserve">102420</t>
  </si>
  <si>
    <t xml:space="preserve">nFusion 700 MP</t>
  </si>
  <si>
    <t xml:space="preserve">102421</t>
  </si>
  <si>
    <t xml:space="preserve">98042</t>
  </si>
  <si>
    <t xml:space="preserve">P-12XL</t>
  </si>
  <si>
    <t xml:space="preserve">91594</t>
  </si>
  <si>
    <t xml:space="preserve">P-8</t>
  </si>
  <si>
    <t xml:space="preserve">AUTOMATIC WAFER PROBER</t>
  </si>
  <si>
    <t xml:space="preserve">102941</t>
  </si>
  <si>
    <t xml:space="preserve">P12XL</t>
  </si>
  <si>
    <t xml:space="preserve">102942</t>
  </si>
  <si>
    <t xml:space="preserve">93837</t>
  </si>
  <si>
    <t xml:space="preserve">78323</t>
  </si>
  <si>
    <t xml:space="preserve">PROBER</t>
  </si>
  <si>
    <t xml:space="preserve">92441</t>
  </si>
  <si>
    <t xml:space="preserve">P12XL ( WAT )</t>
  </si>
  <si>
    <t xml:space="preserve">Fully Automatic Prober with Gold Hot Chuck and WAT</t>
  </si>
  <si>
    <t xml:space="preserve">The current condition of the equipment is that it is in working condition, 
and it is available for power-up inspection by appointment at our 
refurbishment centre in the Asia-Pacific Region.
Configuration:-
Voltlage
200V AC
Hot/Cold chuck Temp.
Tri-Temp but no chiller(30~150)
Gold/Nickel chuck
Gold(WAT chuck)
Hard Driver
V
Floppy Driver
V
OCR
V(Insight 1700)
Dual/Single Cassette
Single
Fail mark inspection
V
Needle inspection
V
APC/SACC(Motor/Air/Cart)
NA
Marking By Category
X
Auto Needle Alignment
V
Auto Needle Height
V
GB-IP
V
Ethernet
V
Cleaning Option/WAPP
V(WAPP air type)
GP-IB Cable
X
Marker Unit
X
Connecting Tester
NA
Hinge Type
Yes
Ring Type
NA
OS
Rzz00-R015.01-T
Configuration Disk
V
Function Check
OK
CPU Board
VIP3
See attached photos for the tool details.</t>
  </si>
  <si>
    <t xml:space="preserve">95987</t>
  </si>
  <si>
    <t xml:space="preserve">99915</t>
  </si>
  <si>
    <t xml:space="preserve">P12XLM</t>
  </si>
  <si>
    <t xml:space="preserve">87848</t>
  </si>
  <si>
    <t xml:space="preserve">De-installed, warehoused. Inspection WITH POWER-UP DEMONSTRATION is 
available by appointment. Please refer to the attached photos for details.
Configuration:-
-12” Gold Chuck Top(Hot)
-Main CPU : VIP3A
-SACC (Semi Automatic Card Changer)
-Hardware Interface of Tester : ZIF
-Cassette Loader : Single Port, Left Type</t>
  </si>
  <si>
    <t xml:space="preserve">74530</t>
  </si>
  <si>
    <t xml:space="preserve">P8</t>
  </si>
  <si>
    <t xml:space="preserve">92438</t>
  </si>
  <si>
    <t xml:space="preserve">P8 ( VIP4 ) </t>
  </si>
  <si>
    <t xml:space="preserve">Upgraded to VIP4
Deinstalled. Warehoused.
In full working condition and can be powered up for inspection by 
appointment</t>
  </si>
  <si>
    <t xml:space="preserve">86067</t>
  </si>
  <si>
    <t xml:space="preserve">P8XL</t>
  </si>
  <si>
    <t xml:space="preserve">92440</t>
  </si>
  <si>
    <t xml:space="preserve">Working. Can power on inspection.
Voltage AC 200V
Hot chuck Yes
Gold chuck Yes
Hot chuck controller Yes
Hard drive Yes
Floppy drive Yes
Single /dual cassette single
Fail mark inspection Yes
Needle inspection Yes
SACC Yes
Marking by category Yes
Auto needle alignment Yes
Auto needle height Yes
TTL No
GP-IB Yes
RS232 No
Off site marking No
WAPP(Cleaning option) Yes
Chuck type (-40 ~150°C) Yes
Group index Yes
Configuration disk Yes
Menu No
Signal pole Yes
TTL cable No
GB-IP cable No
Marker unit No
Function check Yes
Microscope No
VIP version VIP3A
OCR No
Chiller D214 Chiller</t>
  </si>
  <si>
    <t xml:space="preserve">102426</t>
  </si>
  <si>
    <t xml:space="preserve">Precio octo</t>
  </si>
  <si>
    <t xml:space="preserve">Software Version: Bzz00-P016.02-A
Factory Interface: Open Cassette
PSAS
Auto alignment System (Needle Tip, Wafer)
Chuck Camera unit-II
Bridge Camera unit-II
Alarm Monitor
Real Time Wafer Map Display
Inspections (Autp/Manual, Prober Mark/Needle Tip)
cable-in kit for rectangular probe card (M101)
Flat loader
Hot chuck (hole) (50C to 150C)
OCR mounting hardware
Chuck Blow
Chuck Discharge Kit
GPIB I/F (W/Cable 4m)
WAPP (Plate: STD)
Pearl Brush
LCD Panel STD
Manual: CD-ROM
*PCB SIO (4port)
200V PS
Docking Kit
 </t>
  </si>
  <si>
    <t xml:space="preserve">102427</t>
  </si>
  <si>
    <t xml:space="preserve">RLSA-H Chambers</t>
  </si>
  <si>
    <t xml:space="preserve">4 (FOUR) chambers</t>
  </si>
  <si>
    <t xml:space="preserve">91335</t>
  </si>
  <si>
    <t xml:space="preserve">SCCM SHIN</t>
  </si>
  <si>
    <t xml:space="preserve">Dry ETCHER</t>
  </si>
  <si>
    <t xml:space="preserve">91336</t>
  </si>
  <si>
    <t xml:space="preserve">101807</t>
  </si>
  <si>
    <t xml:space="preserve">SCCM-SHIN</t>
  </si>
  <si>
    <t xml:space="preserve">Dry Etecher</t>
  </si>
  <si>
    <t xml:space="preserve">102429</t>
  </si>
  <si>
    <t xml:space="preserve">Tactras</t>
  </si>
  <si>
    <t xml:space="preserve">Etch</t>
  </si>
  <si>
    <t xml:space="preserve">102811</t>
  </si>
  <si>
    <t xml:space="preserve">Tactras Vesta</t>
  </si>
  <si>
    <t xml:space="preserve">102433</t>
  </si>
  <si>
    <t xml:space="preserve">Tactras Vigus Chamber</t>
  </si>
  <si>
    <t xml:space="preserve">BEOL ETCH Chamber</t>
  </si>
  <si>
    <t xml:space="preserve">101808</t>
  </si>
  <si>
    <t xml:space="preserve">TE-8401</t>
  </si>
  <si>
    <t xml:space="preserve">Si Dry Etcher</t>
  </si>
  <si>
    <t xml:space="preserve">91337</t>
  </si>
  <si>
    <t xml:space="preserve">TE8500</t>
  </si>
  <si>
    <t xml:space="preserve">91338</t>
  </si>
  <si>
    <t xml:space="preserve">91339</t>
  </si>
  <si>
    <t xml:space="preserve">91340</t>
  </si>
  <si>
    <t xml:space="preserve">102812</t>
  </si>
  <si>
    <t xml:space="preserve">TELFORMULA ALD High-K</t>
  </si>
  <si>
    <t xml:space="preserve">Tool is located in clean room. Tool is still powered on and wafers are not 
running on it.Buyer is responsible for arranging disassembly and rigging 
for tool.Hard Disk DRIVE WILL BE REMOVED FROM TOOL.Tube Material:QuartzBoat 
Material:QuartzProduction wafes:50Pressure control:APC Valve�Process 
Gas:TEMAZ(F.S:1.0sccm),TMA(F.S:300sccm),O3(F.S:20slm,200g/m3),N2,OCTANEVaporizer 
Maker:STEC(TMA,TEMAZ)Vaporizer TYPE:LSC-F530(TMA),TL-2011(TEMAZ)MFC 
Maker:STECMFC Model:Z500seriesProcess Temp:200-300degOzonizer 
Maker:TMEICOzonaizer Type:OP-250Pump Maker:EDWARDSPump Type:iXH1820Missing 
or damaged parts: none.</t>
  </si>
  <si>
    <t xml:space="preserve">102813</t>
  </si>
  <si>
    <t xml:space="preserve">Installed - In Production 2.2- General SpecificationSafety Specification - 
S2-0703 - PartQty1Heater Model - Mid-Temp. VCM-50-012L - PartQty1Compatible 
with Atmoshpheric Process - None - PartQty0Maximum Operating Temperature 
(C) - 300 - PartQty1ART Control - Yes - PartQty1"N2 Load Lock - Yes - 
PartQty1"Wafer Type - 300mm-Si SEMI STD-Notch - PartQty1"Qty. of Production 
Wafers - 50 - PartQty1"Software Version (WAVES) - Ver.2.12 R006 - 
PartQty1"Seismic Isolation Configuration - None - PartQty0"3.1.1- Furnace 
Spec, FurnaceDewpoint Meter for N2 LL - None - PartQty0"Loading Area Light 
- White (LED) - PartQty1"RCU Duct Length FNC - RCU - 20m - PartQty0"Ionizer 
(maker/model) - None - PartQty0"Chemical PreFilter-Acid - None - 
PartQty0"Chemical PreFilter-Alkali - None - PartQty0"Chemical 
PreFilter-Hydrocarbon - Yes - PartQty0"Chemical PreFilter-Location - FNC 
Top - PartQty0"Side Maintenance - None - PartQty0"3.1.2- Furnace Spec, 
Wafer/Carrier HandlingCarrier Type - FOUP/25slots, SEMI STD - PartQty1"FOUP 
Maker/Model - Entegris / A300 - PartQty1"Carrier Stage Capacity - 10 - 
PartQty1"Info Pad A,B - Pin - PartQty0"Info Pad C,D - Pin - PartQty0"Fork 
Material - Al2O3 - PartQty1"3.1.3- Furnace Spec, Furnace FacilitiesFurnace 
Exhaust Connection Point - Top Connection - PartQty1"Cooling Water 
Connection Point - Bottom Connection - PartQty1"Electric Fan Exhaust 
Facility Connection - Not Installed - PartQty0"Air Intake Point - Top - 
PartQty1"3.2.1- Gas Spec, �Gas Distribution SystemIGS Type - IGS 
1.5""W-Seal rail-mount - PartQty1"IGS Maker - Fujikin - PartQty1"Tubing 
Bends - Bend (Less than 90deg) - PartQty1"IGS Final Filter - N2 50L 
line:Entegris(Ni), The other N2 line and Process gas line:PALL(SUS) - 
PartQty1"IGS Regulator - CKD - PartQty1"IGS MFC (Maker/Type) - HORIBA STEC 
/ Digital - PartQty1"IGS MFC for low flow N2 purge when cleaning - HORIBA 
STEC / SEC-G111 - PartQty1"IGS Press. Transducer - Nagano - PartQty1"Liquid 
Source Vapor System Maker / Model - For TMA HORIBA STEC / LSC-F530For 
ZAC(OCTANE) �STEC / TL-2013 - PartQty1"Auto-Refill System- TMA - Air Liquid 
/ CANDI - PartQty1 - Model : CALEN - Japan Air Gases"Auto Refill System- 
ZAC - Air Liquid / CANDI - PartQty1 - Model : AQUARIUS - Japan Air 
Gases"Ozone Delivery System - Toshiba Mitsubishi / OP-500H-RE1 - 
PartQty1"Water Vapor Generator (WVG) - None - PartQty0"3.2.2- Gas Spec, 
�Gas FacilitiesIncoming Gas Connection Point - Bottom Connection - 
PartQty1"Gas VENT Connection Point - Bottom Connection - PartQty1"Exhaust 
VENT Connection Point - Bottom Connection - PartQty1"Gas Unit Exh 
Connection Point - Bottom Connection - PartQty1"3.3.1- Exhaust 
SpecificationbutionVacuum Gage - Press Ctrl - MKS (Hot) Capacitance 
Manometer - PartQty1"Vacuum Gage - Press Monitor (133kPa) - MKS (Hot) 
Capacitance Manometer - PartQty1"Vacuum Gage - Pump Monitor - MKS (Hot) 
Capacitance Manometer - PartQty1"Main Valve - CKD-VEC 3"" - PartQty1"Pump 
Maker/Model - EDWARDS / iXH1820 - PartQty1"Abatement System Type - Burning 
Type - PartQty1"Abatement System (Maker/Model) - EDWARDS / Atlas-TPU2 - 
PartQty1"N2 Dilution Unit Provided by - No NDU - PartQty0"Pump Control Unit 
Setting Location - None - PartQty1"3.3.1- Exhaust SpecificationExhaust 
Pressure Control (AP) - N/A - PartQty0"Exhaust Pressure Controller (AP) 
Maker / Model - N/A - PartQty0"Exhaust Box - Wide Type (1200mmW) - 
PartQty1"3.4.1- Reactor SpecificationQuartz Material Requirement - Electric 
Fused - PartQty0"Quartz Vendor Requirement - None - PartQty0"Quartz Stamp - 
None - PartQty0"Boat Type - 61 slots Ladder - PartQty0"Cap Type - Quartz - 
PartQty1"Cap Heater - Yes - PartQty1"Switch Valve for Cap Cooling Water - 
None - PartQty1"Cooling Water for Cap Rotation - Yes - PartQty1"Heat Shield 
Type - HS Plate - PartQty1"Heat Shield Plate Provided by - TEL - 
PartQty0"3.5.1- Power Specification, Power dist SystemVoltage 3phase - 
480VAC - 200VAC is Ozonizer power - PartQty1"3phase connection type - Star 
Connection - PartQty1"Voltage Single-phase - 200VAC - 200VAC is Ozonizer 
power - PartQty0"Single-phase connection type - N/A - PartQty0"Frequency - 
60Hz - PartQty1"Wattmeter - None - PartQty0"Control Power UPS provided by - 
N/A - OPT: Ordering Fab must verify facility requirements and note any 
special requirements within the PO. - PartQty1"Control Power UPS type - N/A 
- OPT: Ordering Fab must verify facility requirements and note any special 
requirements within the PO. - PartQty0"UPS Input/Output Voltage - N/A - 
OPT: Ordering Fab must verify facility requirements and note any special 
requirements within the PO. - PartQty0"3.5.2- Power Specification, Cable 
LengthPower Cable Input Entrance Loc - Power Box Top - OPT: Ordering Fab 
must verify facility requirements and note any special requirements within 
the PO. - PartQty1"Other power requirement - None - PartQty0"FNC - Power 
Box - 30m - OPT: Ordering Fab must verify facility requirements and note 
any special requirements within the PO. - PartQty1"FNC - RCU - 30m - OPT: 
Ordering Fab must verify facility requirements and note any special 
requirements within the PO. - PartQty1"Power Box - Pump Unit - 30m - OPT: 
Ordering Fab must verify facility requirements and note any special 
requirements within the PO. - PartQty1"Power Box - Refill System - 30m - 
OPT: Ordering Fab must verify facility requirements and note any special 
requirements within the PO. - PartQty1"Power Box - WVG CTRL Unit (if used) 
- N/A - PartQty0"Power Box - Abatement System (if used) - N/A - OPT: 
Ordering Fab must verify facility requirements and note any special 
requirements within the PO. - PartQty1"Gas Detector Box - FNC (if used) - 
N/A - PartQty0"Gas Detector Box - Power Box (if used) - N/A - 
PartQty0"Option Box - FNC (if used) - N/A - PartQty0"Option Box - Power Box 
(if used) - N/A - PartQty0"Power Box - Ozonizer - 20m - PartQty1"Ozonizer 
control rack - Ozonizer - 20m - PartQty1"Ozonizer control rack - Power Box 
- 20m - PartQty1"Ozonizer conrol rack - RCU - 20m - PartQty1"Ozonizer 
control rack - Floor Box - 20m - PartQty1"3.6.1- Interface Specification, 
Factory Automation SystemHost Communications - Comply with GJG - 
PartQty1"Equipment Host I/F Connection - Power Box Top HSMS 
(10Base-T/100Base-TX) - OPT: Ordering Fab to verify �connection point as 
follows: �QTY=1 is Top connection, QTY=2 is Bottom connection, �Default = 
1, and note any special requirements within the PO. - PartQty1"Ingenio - 
Yes - OPT: Ordering Fab must specify Ingenio included or not, default is 
Yes (QTY=1). Set QTY=0 if excluded - PartQty1"OHT Capability - Yes - 
PartQty1"AGV Capability - None - PartQty1"RGV Capability - None - 
PartQty0"PGV Capability - None - PartQty0"Load Port Operation - Lower + 
Upper - PartQty1"PIO I/F Location - FNC Top - PartQty1"3.6.1- Interface 
Specification, FactoryPIO Provided by - TEL - PartQty0"PIO Maker/Model - 
Hokuyo / DMS-HB1-Z - PartQty0"Carrier ID Reader Writer Type - RF - 
PartQty1"CIDRW Lower L/P - Read - PartQty1"CIDRW Upper L/P - Read - 
PartQty1"CIDRW FIMS - Read/Write - PartQty1"CIDRW Maker/Model - HOKUYO 
DMS-HB1-Z series (Head-On) - OPT: Ordering Fab must verify if Write or Read 
Write. Write only QTY= 1.Read/Write QTY= 2.�Default = 1 . Note any special 
requirements within the PO. - PartQty0"CIDRW Provided by - TEL - 
PartQty0"CIDRW Tag Orientation - Vertical - PartQty0"EEC (Equipment 
Engineering Cap - Interface A - OPT: Ordering Fab must specify if FDC is 
included or not, Include = QTY=1, �Set QTY= 0 if excluded.Default = 1 - 
PartQty0"Customized Management Signals - PT / WATER - PartQty0"3.6.2- 
Interface Specification, User InterfaceSignal Tower Model - LCE Series - 
PartQty1"Signal Tower Colors - RED / BLUE / YELLOW GREEN - OPT: Ordering 
Fab to verify signal tower as follows: �QTY=1 is Red/Yellow/Green Defualt = 
1 and note any special requirements within the PO. - PartQty1"Signal Tower 
Location - Front for 10 Stocker (Left) - PartQty1"Front Operation Panel - 
Yes - PartQty1"MMI and Gas FlowChart - Gas Box &amp; Front Operation Panel 
Installed - PartQty1"Light Curtain - None - PartQty1"Indicator Type - 
Selete - PartQty1"Operator Switch - Operator Access / White Cover with 
Orange Light - PartQty1"Pressure Display Unit - MPa / Torr - 
PartQty1"Cabinet Exh Pressure Display - Pa - PartQty1"Warning Label - 
Traditional Chinese / English(first priority) - PartQty1"3.7.1- Other 
Specification, Unit LocationFurnace (Exh/Box,Gas/Box inclu - Main-Fab - 
PartQty1"Power Box - Sub-Fab - PartQty1"Pump - Sub-Fab - PartQty1"RCU - 
Sub-Fab - PartQty0"Step Up Transformer - N/A - PartQty0"Step Down 
Transformer - N/A - PartQty0"Ozone Delivery System - Sub-Fab - PartQty1"WVG 
Controller - N/A - PartQty0"Auto-Refill System - Sub-Fab - PartQty1"UPS - 
None - OPT: Ordering Fab must verify facility requirements and note any 
special requirements within the PO. - PartQty0"Gas Detector Box - G/Box and 
Scaverger- PartQty0"Other Unit Location - N/A - PartQty0"3.7.2 - �Other 
Specification, Gas Leak DetectorGas Leak Detector - YES - PartQty1"Gas Leak 
Detector Provided By - TEL - OPT: Ordering Fab must verify if Supplier is 
to provide, �if so QTY= 1. If Customer to provide then set QTY=0, Default = 
0 note any special requirements within the PO. - PartQty0"Gas Leak Detector 
Maker - Maker: RikenUse gas/Detector type:�O3 / GD-K77D-A O3 ZAC / GD-K7D-A 
(C2H5)2NH OCTANE / GD-K77D-A OCTANE - OPT: Ordering Fab must verify if 
Supplier is to provide, �if so QTY= 1. If Customer to provide then set 
QTY=0, Default = 0 note any special requirements within the PO. - 
PartQty0"Detected Gas 1 / Location - Detected Gas 1 / Location - Gas box - 
PartQty1"Detected Gas 2 / Location - Detected Gas 2 / Location - Gas box - 
PartQty1"Detected Gas 3 / Location - Detected Gas 3 / Location - N/A - 
PartQty0"Detected Gas 4 / Location - Detected Gas 4 / Location - Gas box - 
PartQty1"Detected Gas 5 / Location - Detected Gas 5 / Location - N/A - 
PartQty0"Detected Gas 6 / Location - Detected Gas 6 / Location - N/A - 
PartQty0"Detected Gas 7 / Location - Detected Gas 7 / Location - N/A - 
PartQty0"Gas Box Detection Port - 8 point (4pairs) - OPT: Ordering Fab must 
verify Port number,8 Port (4 Pair) = 1, 10 Port (5 Pair ) = 2, Default = 1 
note any special requirements within the PO. - PartQty2"4.0.1- Fixture 
List, FurnaceTUBE CART - 1 - OPT: Ordering Fab must verify Quantity, and 
capture within the PO if needed - PartQty0"TEMPLATE - 1 - OPT: Ordering Fab 
must verify Quantity, and capture within the PO if needed - 
PartQty1"MAINTENANCE PLATFORM - 0 - OPT: Ordering Fab must verify Quantity, 
and capture within the PO if needed - PartQty0"HEATRE JACK UP BOLT - 1 - 
OPT: Ordering Fab must verify Quantity, and capture within the PO if needed 
- PartQty0"4.0.3 - Fixture List, GasCKD VEC MAINTENANCE FIXTURE - 1 - OPT: 
Ordering Fab must verify Quantity, and capture within the PO if needed - 
PartQty0"IGS MAINTENANCE JIG - 1 - OPT: Ordering Fab must verify Quantity, 
and capture within the PO if needed - PartQty0"VACUUM GAUGE (HANDY PIRANI) 
- 0 - OPT: Ordering Fab must verify Quantity, and capture within the PO if 
needed - PartQty0"4.04 - Fixture List ReactorTHERMOPROBE T/C - 1 - OPT: 
Ordering Fab must verify Quantity, and capture within the PO if needed - 
PartQty0"QUARTS CAP SET FIXTURE - 1 - OPT: Ordering Fab must verify 
Quantity, and capture within the PO if needed - PartQty0"B/E ROTATION 
ALIGNMENT FIXTURE - 1 - OPT: Ordering Fab must verify Quantity, and capture 
within the PO if needed - PartQty0"QUARTZ TABLE CLEANING FIXTURE - 1 - OPT: 
Ordering Fab must verify Quantity, and capture within the PO if needed - 
PartQty0"B/E CAP PROTECTION COVER - 1 - OPT: Ordering Fab must verify 
Quantity, and capture within the PO if needed - PartQty0"BOTTOM T CLEANING 
FIXTURE - 0 - OPT: Ordering Fab must verify Quantity, and capture within 
the PO if needed - PartQty0"INJECTOR SET FIXTURE - 1 - OPT: Ordering Fab 
must verify Quantity, and capture within the PO if needed - 
PartQty0"CLEARANCE CHECK FIXTURE - 1 - OPT: Ordering Fab must verify 
Quantity, and capture within the PO if needed - PartQty0"4.04 - Fixture 
List Interface ToolHCT - 1 - OPT: Ordering Fab must verify Quantity, and 
capture within the PO if needed - PartQty0"HANDY MMI - 0 - OPT: Ordering 
Fab must verify Quantity, and capture within the PO if needed - 
PartQty0"4.0.4 - Fixture List, Interface ToolINTERCOM (INTERPHONE) - 0 - 
OPT: Ordering Fab must verify Quantity, and capture within the PO if needed 
- PartQty0"COMPACT FLASH MEMORY - 2 - OPT: Ordering Fab must verify 
Quantity, and capture within the PO if needed - PartQty0"COMPACT FLASH 
READER - 2 - OPT: Ordering Fab must verify Quantity, and capture within the 
PO if needed - PartQty0"RF RADIATION METER FIXTURE - 0 - OPT: Ordering Fab 
must verify Quantity, and capture within the PO if needed - PartQty0"7.0- 
Attached ListFacility List - Rev.1 - PartQty1"191. 7.0- Attached List - 
System layout drawing - 3892-128274-11 - PartQty1 - 3892-128274011"192. 
7.0- Attached List - Electrical System Diagram - Design in progress - 
PartQty1 - 3892-128213-11"193. 7.0- Attached List - Cooling Water System 
Diagram - Design in progress - PartQty1 - 3893-C20822-13"Conducting 
(Wire-Way) Work Among Boxes - Design in progress - PartQty1"195. 7.0- 
Attached List - Gas System Diagram - 3892-226546-11 - GFC - PartQty1 - 
3892-226398-11"196. 7.0- Attached List - Gas Parts List - 3898-B22513-12 - 
GPL - PartQty1 - 3898-B22513-12"Valve Interlock - Design in progress - 
PartQty1"Safety Interlock - Rev.1 - PartQty1"External Input / Output Table 
- Rev.1 - PartQty1"Signal Tower Special Sequence - Rev.1 - 
PartQty1"Quartzware List - Rev.1 - PartQty1"7.11.1- Quartz List, Process 
FixturQUARTZ TUBE - QUARTZ TUBE - OPT: Ordering Fab must verify Quantity, 
and capture within the PO if needed - PartQty1 - 3805-120034-B4"QUARTZ 
INJECTOR - QUARTZ INJECTOR - OPT: Ordering Fab must verify Quantity, and 
capture within the PO if needed - PartQty1 - 3805-320109-B1 - L-84-45 
(TMA)"QUARTZ INJECTOR - QUARTZ INJECTOR - OPT: Ordering Fab must verify 
Quantity, and capture within the PO if needed - PartQty1 - 3805-321496-B1 - 
L-82-748 (ZAC/OCTANE)"QUARTZ INJECTOR - QUARTZ INJECTOR - OPT: Ordering Fab 
must verify Quantity, and capture within the PO if needed - PartQty1 - 
3805-321497-B1 - L-82-748 (O3)"QUARTZ SOFT BACKFILL - 3805-321488-91 - OPT: 
Ordering Fab must verify Quantity, and capture within the PO if needed - 
PartQty1 - 3805-320013-11 - L-92-50"QUARTZ PLUG - 3805-320013-92 - OPT: 
Ordering Fab must verify Quantity, and capture within the PO if needed - 
PartQty4 - 3805-320072-B1"7.11.1- Quartz List, Loading FixturQUARTZ BOAT - 
3805-120042-91 - OPT: Ordering Fab must verify Quantity, and capture within 
the PO if needed - PartQty1 - 3805-120042-B1"QUARTZ HOUSING - 
3805-120179-91 - OPT: Ordering Fab must verify Quantity, and capture within 
the PO if needed - PartQty1 - 3805-120179-B1"QUARTZ COVER,SCREW - 
3805-320066-91 - OPT: Ordering Fab must verify Quantity, and capture within 
the PO if needed - PartQty2 - 3805-320066-B1"QUARTZ TABLE - 3805-320165-91 
- OPT: Ordering Fab must verify Quantity, and capture within the PO if 
needed - PartQty1 - 3805-320165-B1"QUARTZ GUIDE - 3805-420016-91 - OPT: 
Ordering Fab must verify Quantity, and capture within the PO if needed - 
PartQty1 - 3805-420016-B1"QUARTZ PLUG, PRO T/C - 3805-420027-91 - OPT: 
Ordering Fab must verify Quantity, and capture within the PO if needed - 
PartQty1 - 3805-420027-B2"QUARTZ PIN, CTR - 3805-420031-91 - OPT: Ordering 
Fab must verify Quantity, and capture within the PO if needed - PartQty1 - 
3805-420031-B2"QUARTZ PIN, ROT - 3805-420030-91 - OPT: Ordering Fab must 
verify Quantity, and capture within the PO if needed - PartQty1 - 
3805-420030-B1"QUARTZ CAP - 3805-120137-91 - OPT: Ordering Fab must verify 
Quantity, and capture within the PO if needed - PartQty1 - 
3805-120137-B2"QUARTZ PLATE,HEAT SHIELD - 3805-221222-91 - OPT: Ordering 
Fab must verify Quantity, and capture within the PO if needed - PartQty1 - 
3805-221222-B1"QUARTZ PLATE(2) - 3805-320107-91 - OPT: Ordering Fab must 
verify Quantity, and capture within the PO if needed - PartQty1 - 
3805-320107-11"QUARTZ PLUG, TP POWER - 3805-421093-91 - OPT: Ordering Fab 
must verify Quantity, and capture within the PO if needed - PartQty1 - 
3805-421093-B1"Gas Layout Drawing Parts ListHAND VALVE - NX1,KE11,FB11 - 
PartQty3 - FDDFL-21-6. 35UGF-APD - FUJIKIN"HAND VALVE - XZ11 - PartQty1 - 
FUNDL-21G-6.35UGF-ST-PA - FUJIKIN"NX1 - PartQty1 - BF-1.5U-DF(1MICRON) 
1/4""VCR - NIPPON SEISEN"FILTER - NX2 - PartQty1 - WG3SS2WW2 - 
ENTERIS"FILTER - N12,N22,N32,N42,N62,N82 - PartQty6 - GTMF3201F4A - 
PALL"FILTER - XZ14 - PartQty1 - CNF1004USG4 - PALL"REGULATOR - NX - 
PartQty1 - PGM-H-60-4-1 - CKD"REGULATOR - NY - PartQty1 - PGM-50-4-1 �- 
CKD"PRESSURE TRANSMITTER - NX,NY,N1,XZ4, N5,N7,N8 - PartQty6 - 
ZT15-Z20-17110(-0.1-0.5MPA) - NAGANO KEIKI"MASS FLOW CONTROLLER - NX - 
PartQty1 - Z522MGXC-24W2 N2 50SLM - STEC"MASS FLOW CONTROLLER - NY,N1 - 
PartQty2 - Z512MGXC-24W2 N2 500SCCM - STEC"MASS FLOW CONTROLLER - N2,N4,N7 
- PartQty3 - Z512MGXC-24W2 N2 5SLM - STEC"MASS FLOW CONTROLLER - N3,N6 - 
PartQty2 - Z522MGXC-24W2 N2 20SLM - STEC"MASS FLOW CONTROLLER - N5,N8 - 
PartQty2 - Z522MGXC-24W2 N2 3SLM - STEC"MASS FLOW CONTROLLER - NXZ2 - 
PartQty1 - Z522MGXC-24W2 N2 30SLM - STEC"MASS FLOW CONTROLLER - NXZ1 - 
PartQty1 - G111AMC-4CR-SUC N2 500SCCM - STEC"AIR OPERATE VALVE - NX1,NXZ21 
- PartQty2 - FPR-UDDFA-21-6.35UGF-APD#B - FUJIKIN"AIR OPERATE VALVE - NXZ11 
- PartQty1 - FPR-UDDFA-21-6.35UGF-ST-PA-APD#A - FUJIKIN"AIR OPERATE VALVE - 
NY1,N11,N21,N31,N41,N51,N61,NXZ11 - PartQty8 - 
FPR-UDDFA-21-6.35UGF-ST-PA-APD#A - FUJIKIN"AIR OPERATE VALVE - N82 - 
PartQty1 - FPR-UDDFA-21-6.35UGF-ST-PA-APD#B - FUJIKIN"AIR OPERATE VALVE - 
N72 - PartQty1 - FPR-UDDFA-21RS-6.35UGF-ST-PA-APD#B - FUJIKIN"AIR OPERATE 
VALVE - XZ12-14 - PartQty1 - FBSDAL-RS20-6.35UGF-2B3-ST-PA-DVD - 
FUJIKIN"AIR OPERATE VALVE - XZ11 - PartQty - 
FPR-UDDFA-21-6.35UGF-ST-PA-APD#B - FUJIKIN"AIR OPERATE VALVE - FB19 - 
PartQty1 - FBSDAL-6.35UGF-1B3-DVD#B - FUJIKIN"AIR OPERATE VALVE - XZ13,15 - 
PartQty2 - FBSDAL-6.35UGF-1B3-ST-PA-DVD - FUJIKIN"AIR OPERATE VALVE - 
KE11-13,FB11-13 - PartQty2 - FBSDAL-RS22-6.35UGF-2B3-DVD#A - FUJIKIN"AIR 
OPERATE VALVE - FB1B-FB1C - PartQty1 - FBSDAL-6.35UGF-2B3-DVD#B - 
FUJIKIN"AIR OPERATE VALVEAIR OPERATE VALVECHECK VALVE - XZ14 - PartQty1 - 
FUCL-21-6.35UGF6.35JR-0.023-KA-APD - FUJIKIN"CHECK VALVE - NXZ13,NXZ23 - 
PartQty2 - FUCL-21-6.35UGF6.35JR-0.023-KA-APD - FUJIKIN"CHECK VALVEBAKING 
UNIT - FSC-F730 - PartQty1 - FSC-F730 - STEC"PRESSURE GAUGE - FB1 - 
PartQty1 - EMD7D3P1D100 - YAMAMOTO"SPEED CONTROLLER - FB1 - PartQty1 - 
AS1002F-06 - SMC"OZONIZER - OZONIZER - PartQty1 - OP-500H-RE1 - 
TMEIC"OZONIZER DESTRUCTOR - OZONIZER DESTRUCTOR - PartQty1 - G-03T - 
SUD-CHEMIE"AIR OPERATE VALVE - NG1-IP1-NP1 - PartQty1 - 
FBNHDL-FS202-9.52X6.35-3B4-PA-NFQ - FUJIKIN"AIR OPERATE VALVE - NG2 - 
PartQty1 - FPR-UDDF-81-9.52X6.35-2-NL-PA-DYL#A-UP - FUJIKIN"AIR OPERATE 
VALVE - NG3-IP3 - PartQty1 - FBDV-6.35-2B3-ST-PA-LUA-UP - FUJIKIN"AIR 
OPERATE VALVE - NG4-IP4 - PartQty1 - FBDV-9.52X6.35-2B3-PA-LDT#AUP - 
FUJIKIN"AIR OPERATE VALVE - NP3 - PartQty1 - 
FPR-SDT-71RSB2-6.35-3-ST-PA-DZH - FUJIKIN"AIR OPERATE VALVE - NP4 - 
PartQty1 - FPR-SDT-71RSB2-9.52X6.35-3-PA-DZH#A - FUJIKIN"AIR OPERATE VALVE 
- Z19 - PartQty1 - HBV-8VF-NC-BA-R-PEEK - IHARA"AIR OPERATE VALVE - KE19 - 
PartQty1 - FPR-SD-71-6.35UG-PA - FUJIKIN"AIR OPERATE VALVE - KE1A - 
PartQty1 - FPR-SDT-71-6.35UGSX6.35-3-PA-LHD - FUJIKIN"AIR OPERATE VALVE - 
Z16,Z26 - PartQty2 - FPR-SDT-71RSB2-6.35UGSX6.35-3-PA-LHD - FUJIKIN"AIR 
OPERATE VALVE - N83 - PartQty1 - FPR-SD-71RSB2-6.35-2-PA - FUJIKIN"HAND 
VALVE - NG2 - PartQty1 - FUDDFL-71-6.35-UP - FUJIKIN"HAND VALVE - NG3 - 
PartQty1 - FUDDFL-71-6.35-ST-PA-UP - FUJIKIN"HAND VALVE - NG4 - PartQty1 - 
FUDDFL-71-9.52-NL-PA-UP - FUJIKIN"FILTER - Z11,12 - PartQty2 - CNF1004UPSG6 
- PALL"VAPORIZER SYSTEM - TL-2013 - PartQty1 - TL-2013L-06U-00-E - 
STEC"MASS FLOW CONTROLLER - NR1,2 - PartQty2 - G111AMC-4CR-SUC N2 500SCCM - 
STEC"FILTER - NR1,2 - PartQty2 - GSG-V4-1-N - MOTT"AIR OPERATE VALVE - 
NR11,12-1,12-2 - PartQty3 - FPR-SD-71-6.35#A - FUJIKIN"HAND VALVE - HV1 - 
PartQty1 - FUBFL-71-9.52-2-PA-BR - FUJIKIN"HAND VALVE - HV2 - PartQty1 - 
HBV-8VF-BA-R-PEEK - IHARA"HAND VALVE - HV3,4 - PartQty2 - FUBFL-71-9.52-PA 
- FUJIKIN"AIR OPERATE VALVE - IV1 - PartQty1 - FPR-71RS1-9.52-PA#A - 
FUJIKIN"AIR OPERATE VALVE - IV7 - PartQty1 - FPR-71RS1-9.52-2-PA-BR#A - 
FUJIKIN"AIR OPERATE VALVE - IV8 - PartQty1 - HBV-8VF-NC-BA-R-PEEK - 
IHARA"AIR OPERATE VALVE - IV2 - PartQty1 - FP-71RS1-9.52-2-PA-BR#A - 
FUJIKIN"AIR OPERATE VALVE - VV1,VV2 - PartQty2 - FPR-71-9.52-2-PA-BR#A - 
FUJIKIN"AIR OPERATE VALVE - SSV1 - PartQty1 - FPR-71-6.35-2-PA-BR#A - 
FUJIKIN"NEEDLE VALVE - NV1 - PartQty1 - FUBFN-71-6.35-DFZ - FUJIKIN"CHECK 
VALVE - CV1 - PartQty1 - IC8-1/3-VUA-48 - KITZ"CYLINDER VALVE - MV - 
PartQty1 - VEC-VH8-X0110/VEC-CA9-X0302 - CKD"CAPACITANCE MANOMETER - VG1 - 
PartQty1 - 631D02T8FHBB - MKS"CAPACITANCE MANOMETER - VG2,P.SW21 - PartQty2 
- 631D13T8FHBB - MKS"CAPACITANCE MANOMETER - VG3 - PartQty1 - 631D11T8FHBB 
- MKS"CAPACITANCE MANOMETER - VG4 - PartQty1 - 631D11T8FHBB - MKS"PRESSURE 
SWITCH - ATM-P.SW11-1,2 - PartQty2 - 223B-22809 - MKS"DRY PUMP UNIT - 
M.B.P/D.P - PartQty1 - IXH1820 - EDWARDS"BALL VALVE - BV21,22 - PartQty2 - 
G-353011 - IHARA"FILTER - F21,F22 - PartQty2 - GF-D50L - NIPPON 
SEISEN"REGULATOR - RG21,22 - PartQty2 - RC2000-X0005 - CKD"PRESSURE GAUGE - 
PG21,22 - PartQty2 - G49D-6-P10-P9 - CKD"FLOW CONTROL SYSTEM - 
FCNL1-LA1,LA2 - PartQty1 - KHT-X0038-FL326735 - CKD"FLOW METER - NFA,NFB - 
PartQty2 - KHT-X0033-FL326730 - CKD"AIR OPERATE VALVE - PB1-NVNFAPB2-NVNFB 
- PartQty2 - AGD21V-6RJ-FC - CKD"FILTER - FNL12 - PartQty1 - N-400 PTFE 
1/2""VCR L74 - NIPPON SEISEN"STOP VALVE - BV23,24,25 - PartQty3 - 3QV-06-06 
- CKD"REGULATOR - RG23-24-25 - PartQty1 - MNRB500B-SLC6-3-D - CKD"PRESSURE 
SWITCH - P.SW1,P.SW2 - PartQty2 - PPX-R10P-6M - CKD"FLOW METER - NFZ - 
PartQty1 - XP-G5-U0 - TOKYO KEISO"Missing/Damaged Parts ListNone report, �</t>
  </si>
  <si>
    <t xml:space="preserve">102814</t>
  </si>
  <si>
    <r>
      <rPr>
        <sz val="8"/>
        <rFont val="Arial"/>
        <family val="0"/>
        <charset val="1"/>
      </rPr>
      <t xml:space="preserve">General Specification: Safety Specification: SEMI S2-0703Heater Model: 
Mid-Temp. VCM-50-012LCompatible with Atmoshpheric Process: NoneMaximum 
Operating Temperature (C): 300ART Control: YesN2 Load Lock: YesWafer Type: 
300mm-Si SEMI STD-NotchQty. of Production Wafers: 50Software Version 
(WAVES): Ver.2.12 R008Seismic Isolation Configuration: NoneFurnace Spec, 
Furnace: Dewpoint Meter for N2 LL: NoneLoading Area Light: White (LED)RCU 
Duct Length FNC - RCU: 20mIonizer (maker/model): NoneChemical 
PreFilter-Acid: NoneChemical PreFilter-Alkali: NoneChemical 
PreFilter-Hydrocarbon: YesChemical PreFilter-Location: FNC TopSide 
Maintenance: NoneFurnace Spec, Wafer/Carrier HandlingCarrier Type: 
FOUP/25slots, SEMI STDFOUP Maker/Model: Entegris / A300Carrier Stage 
Capacity: 10Info Pad A,B: PinInfo Pad C,D: PinFork Material: Al2O3Furnace 
Spec, Furnace FacilitiesFurnace Exhaust Connection Point: Top 
ConnectionCooling Water Connection Point: Bottom ConnectionElectric Fan 
Exhaust Facility Connection: Not InstalledAir Intake Point: TopGas 
Spec, Gas Distribution SystemIGS Type: IGS 1.125"W-Seal rail-mountIGS 
Maker: FujikinTubing Bends: Bend (Less than 90deg)IGS Final Filter: PALLIGS 
Regulator: CKDIGS MFC (Maker/Type): HORIBA STEC / DigitalIGS MFC for low 
flow N2 purge when cleaning: HORIBA STEC / SEC-G111IGS Press. Transducer: 
Nagano"Liquid Source Vapor System Maker / Model: For TMA HORIBA STEC / 
LSC-F530For ZAC</t>
    </r>
    <r>
      <rPr>
        <sz val="8"/>
        <rFont val="Noto Sans CJK SC"/>
        <family val="2"/>
        <charset val="1"/>
      </rPr>
      <t xml:space="preserve">　</t>
    </r>
    <r>
      <rPr>
        <sz val="8"/>
        <rFont val="Arial"/>
        <family val="0"/>
        <charset val="1"/>
      </rPr>
      <t xml:space="preserve">HORIBA STEC / TL-2014"Auto-Refill System- TMA: Air Lequide 
/ CANDIAuto Refill System- ZAC: Air Lequide / CANDIAuto Refill System 
Provider: Provided by customerRefill System Tubing interconn: Provided by 
customerRefill System Tubing interconn: Provided by customerOzone Delivery 
System: OP-500H-RE1Ozone Delivery System Provider: Provided by 
customerWater Vapor Generator (WVG): NoneInjector O-ring material: DU353Gas 
Spec, Gas FacilitiesIncoming Gas Connection Point: Bottom ConnectionGas 
VENT Connection Point: Bottom ConnectionExhaust VENT Connection Point: 
Bottom ConnectionGas Unit Exh Connection Point: Bottom ConnectionExhaust 
SpecificationVacuum Gage - Press Ctrl: MKS (Hot) Capacitance 
ManometerVacuum Gage - Press Monitor (133kPa): MKS (Hot) Capacitance 
ManometerVacuum Gage - Pump Monitor: MKS (Hot) Capacitance Manometer"Main 
Valve: CKD / Valve: VEC-VH8-X0110  Controller: VYX-0279-CONT"Pump 
Maker/Model: EDWARDS / iXH1820Pump Provided by: Provided by 
customerAbatement System Type: Burning TypeAbatement System (Maker/Model): 
EDWARDS /TPU</t>
    </r>
    <r>
      <rPr>
        <sz val="8"/>
        <rFont val="Noto Sans CJK SC"/>
        <family val="2"/>
        <charset val="1"/>
      </rPr>
      <t xml:space="preserve">（</t>
    </r>
    <r>
      <rPr>
        <sz val="8"/>
        <rFont val="Arial"/>
        <family val="0"/>
        <charset val="1"/>
      </rPr>
      <t xml:space="preserve">Zenith)Abatement System Provider: CustomerN2 Dilution Unit 
Provided by: No NDUPump Power: Customer's Facility ProvidedPump Control 
Unit Setting Location: NonePump-FNC Vacuum Piping Provide: CustomerExhaust 
Pressure Control (AP): N/AExhaust Pressure Controller (AP) Maker / Model: 
N/AExhaust Box: Wide Type (1200mmW)Heating construction for Facility 
Exhaust: Between Pump and Abatement SystemHeating construction for Facility 
Exhaust provided by: CustomerExhaust O-ring material: DU353Power 
Specification, Power dist SystemVoltage 3phase: 400VAC </t>
    </r>
    <r>
      <rPr>
        <sz val="8"/>
        <rFont val="Noto Sans CJK SC"/>
        <family val="2"/>
        <charset val="1"/>
      </rPr>
      <t xml:space="preserve">＆ </t>
    </r>
    <r>
      <rPr>
        <sz val="8"/>
        <rFont val="Arial"/>
        <family val="0"/>
        <charset val="1"/>
      </rPr>
      <t xml:space="preserve">200VAC(for 
Ozonizer)3phase connection type: Star ConnectionVoltage Single-phase: 
NoneSingle-phase connection type: N/AFrequency: 60HzWattmeter: NoneControl 
Power UPS provided by: NoneControl Power UPS type: N/AUPS Input/Output 
Voltage: N/APower Specification, Cable LengthPower Cable Input Entrance 
Loc: Power Box TopOther power requirement: NoneFNC - Power Box: 30mFNC - 
RCU: 30mPower Box - RCU: 30mPower Box - Pump Unit: 30mPower Box - Refill 
System: 30mPower Box - WVG CTRL Unit (if used): N/APower Box - Abatement 
System (if used): N/AGas Detector Box - FNC (if used): N/AGas Detector Box 
- Power Box (if used): N/AOption Box - FNC (if used): N/AOption Box - Power 
Box (if used): N/AInterface Specification, Factory Automation SystemHost 
Communications: Comply with GJGEquipment Host I/F Connection: Power Box Top 
HSMS (10Base-T/100Base-TX)Ingenio: YesOHT Capability: YesAGV Capability: 
NoneRGV Capability: NonePGV Capability: NoneLoad Port Operation: Lower + 
UpperPIO I/F Location: FNC TopPIO Provided by: TELPIO Maker/Model: Hokuyo / 
DMS-HB1-ZCarrier ID Reader Writer Type: RFCIDRW Lower L/P: ReadCIDRW Upper 
L/P: ReadCIDRW FIMS: Read/WriteCIDRW Maker/Model: HOKUYO DMS-HB1-Z 
seriesCIDRW Provided by: CustomerCIDRW Tag Orientation: VerticalEEC 
(Equipment Engineering Cap: NoneCustomized Management Signals: 
PT/WaterInterface Specification, User InterfaceSignal Tower Model: LCE 
SeriesSignal Tower Colors: Red / Blue / Yellow / GreenSignal Tower 
Location: Front for 10 Stocker (Left)Front Operation Panel: YesMMI and Gas 
FlowChart: Gas Box &amp; Front Operation Panel InstalledLight Curtain: 
NoneIndicator Type: HOKUYO DMS-HB1-Z seriesOperator Switch: Operator Access 
/ White Cover with Orange LightPressure Display Unit: MPa / TorrCabinet Exh 
Pressure Display: PaWarning Label: Chinese/EnglishSpecial Label: 
NoneDamage/Missing parts listNone reported,</t>
    </r>
  </si>
  <si>
    <t xml:space="preserve">102815</t>
  </si>
  <si>
    <t xml:space="preserve">102816</t>
  </si>
  <si>
    <t xml:space="preserve">Vertical Furnace  ALD MD-ZrOx Process</t>
  </si>
  <si>
    <t xml:space="preserve"> Installed - In Production Process:�ALDALZROX</t>
  </si>
  <si>
    <t xml:space="preserve">102817</t>
  </si>
  <si>
    <t xml:space="preserve">TELFORMULA Nitride</t>
  </si>
  <si>
    <t xml:space="preserve">Process:�NITR</t>
  </si>
  <si>
    <t xml:space="preserve">102818</t>
  </si>
  <si>
    <t xml:space="preserve">87287</t>
  </si>
  <si>
    <t xml:space="preserve">EQUIPMENT DETAILS:
Tube Material:Quartz
Boat Material:Quartz
Production wafes:50
Pressure control:APC Valve
Process
Gas:DCS(F.S:200sccm),NH3(F.S:2slm),N2O(F.S:1slm),HF(F.S:5slm),20%F2/N2(F.S:20slm
),N2
MFC Maker:HITACHI-Metals
MFC Model:PAR78series
Process Temp:600-700deg
Missing or damaged parts: Not reported. Inspection is recommended to 
confirm.</t>
  </si>
  <si>
    <t xml:space="preserve">91259</t>
  </si>
  <si>
    <t xml:space="preserve">Telformula(ver.0)</t>
  </si>
  <si>
    <t xml:space="preserve">optimal thermal processing</t>
  </si>
  <si>
    <t xml:space="preserve">102434</t>
  </si>
  <si>
    <t xml:space="preserve">TelIndy B-L</t>
  </si>
  <si>
    <t xml:space="preserve">102821</t>
  </si>
  <si>
    <t xml:space="preserve">TELINDY Nitride</t>
  </si>
  <si>
    <t xml:space="preserve">TEL INDY NITR</t>
  </si>
  <si>
    <t xml:space="preserve">103130</t>
  </si>
  <si>
    <t xml:space="preserve">Telius 305 DRM</t>
  </si>
  <si>
    <t xml:space="preserve">Current Condition: Installed - In Production - DRY ETCH 
15-3TEL_TLUDRM_OX_02 TEL TLUDRM OX No missing or damaged parts reported by 
Fab15. - - [Chamber A] Chamber type:DRM Gas config. (sccm)=FCS full scale 
2line(advanced radical distribution control) 
Ar(754)/C4F8(43)/O2(46.8)/O2(1215) CF4(336)/CHF3(163)/CH2F2(144)/N2(300) 
CHF3(25.1)/O2(18.7)/N2(30)/CH2F2(14.4) RF 13.56MHz, max 5000W Temp Top 
+30~+80℃ Wall +40~+80℃ ESC -10~+60℃ - [Chamber A] Chamber type:DRM Gas 
config. (sccm)=FCS full scale 2line(advanced radical distribution control) 
Ar(754)/C4F8(43)/O2(46.8)/O2(1215) CF4(336)/CHF3(163)/CH2F2(144)/N2(300) 
CHF3(25.1)/O2(18.7)/N2(30)/CH2F2(14.4) RF 13.56MHz, max 5000W Temp Top 
+30~+80℃ Wall +40~+80℃ ESC -10~+60℃ - -</t>
  </si>
  <si>
    <t xml:space="preserve">91341</t>
  </si>
  <si>
    <t xml:space="preserve">TELIUS SCCM T-3044SS </t>
  </si>
  <si>
    <t xml:space="preserve">DRY ETCHER</t>
  </si>
  <si>
    <t xml:space="preserve">103131</t>
  </si>
  <si>
    <t xml:space="preserve">Telius SP-305 SCCM</t>
  </si>
  <si>
    <t xml:space="preserve">Current Condition: Installed - In Production - Process: OX - - Standard 
Specifications - Software Revision: Linux 5.75 Rev 001 - Lot Stability 
Dummy SW: Software for running lot stability wafer. - OEE WPH Software: Yes 
- GEM SEC Revision: TBD - Wafer Size: Diameter 300+/- 0.20mm(SEMI M1.15), 
Notch - Carrier: FOUP (Comply with SEMI E47.1 (25wafers)) - Inter Face: 5 
carrier stage (Continuous flow operation) with Semi compliant MENV and FIMS 
assemblies - Online Connection: GEM / CIM GJG (Hardware Interface : 
Ethernet 100Base-Tx) - Interface A: Yes - Utility Box: Regulator : 
Air/AR2500(SMC), N2/SQ-420E(VERIFLO), He/SQMICRO(VERIFLO) - Utility Box: 
Manual Valve : OGD20V-6RM-K / OGD10V-4RM-K (CKD) - Utility Box: Pressure 
Gauge : Bourdon Gauge - Loader Mod Corrosion Prevent: NO, without Corrosion 
Prevent - Load Lock Pressure Monitor: Pressure Switch : VSA100A (INFICON) - 
Load Lock Pressure Monitor: Pirani gauge : TTR211S LEYBOLD) - Load Lock 
Pressure Monitor: CM : 626A01TDE (MKS) - Maintenance Monitor: 2 (Flat Panel 
Display Touch Screen Type) - Water Leak Detector: 5 (LM;1, each PS;1) - 
Signal Tower: Red/Yellow/Green/Blue (Upper Left of Front x1 &amp; Upper right 
section of loader on maintenance side x1) - Data Back up: USB&amp; MO - EMO: 
Front x3, Rear x6 - Cable Length: One 15m and one 16m (Interconnection, RF 
cables) - Inter Locks: External (When the I/L signal is received from 
Factory, gas valves are closed) - Fittings: No brass fittings - - 
Supporting Remote Units - Chiller: UBRPD5A-2T? - Coolant: Lower:FC3283, 
Upper:FC40 - Chiller Hose: BRINE HOSE 15/14M - Handy Maintenance 
Controller: LCD DISPLAY UT3-TLN21-A - RF Generator TOP: AGA-50B2 - RF 
Matcher TOP: AMN-50B2 - RF Generator Bottom: WGA-50E - Matching Controller: 
WMN-50H6(2MHZ/5KW)(PS3) - Pen Record Box: 2L80-00212-12 - Loader Module: 
SELME2112ZS22-AD5 - LOAD PORT: NO,Bolts-L type - DRIVE UNIT:SBX92102928 - 
READER OPTICAL: ISS-1700-1TELCC - Carrier ID Reader: NO,V640series+V700-L22 
(Omron) - APC: 12 INCH (320MM) - - Hardware Configuration - Proc Chbr 
1,2,3,4: SCCM Oxide; Y203 Coating - Chamber hardware: FCC - Endpoint type: 
SE2000ii - ESC type: Ceramics ESCwith STD Vpp - Focus ring: 3.4mm - 
Thunderwall He Gas Inlet: Ceramic Thunderwall with Ceramic pusher pins - 
Polished focus ring: O - FC lower insulator: FC lower insulator w/quartz 
upper ring shield - Magnet Shield: O - Oring for Chbr Body-Depos: 
Armorcrystal, Chemraz SC657 - CEL Body ASSY: Brine Control Mode - TMP: 
TMP-3403LMC-T4(VG300) (SHIMADZU) - TMP Back Pressure Monitor: 
51A11TGA2BA003 (MKS) - Dry Pump: ESR80WN, KEG approved - Final Valve, 
Heater: Valve; AGD21V-6RM-GWL4 (CKD) - Filter: Filter; CEP-TM_HL-VR-03PB 
(Toshiba Ceramic) - APC: Pendulum Motion Dia., 320mm(VAT), R.T.~90deg - 
Pressure Monitor: C/M (Process Monitor) : 627BRETDD2P (MKS), 45deg, 30Pa - 
Pressure Monitor: C/M (Self Check) : 627B11TDC2P (MKS), 45deg, 1330Pa - 
Pressure Monitor: B.A. Gauge (CM Calibration) : BPG400 (INFICON), 2.0x10-5 
~ 0.1Pa - Pressure Monitor: N,41A13DGA2AA040 (MKS), no process impact - 
Pressure Monitor: Pressure Switch : 51A11TGA2BA010 (MKS), H2/fluoro gas - - 
Gas Box Configuration - Gas line 1- N2 1000 sccm-AERA FCD985CT-BF - Gas 
line 2- C4F8 200 sccm-AERA FC-D985CT-BF - Gas line 3- Ar 2000 sccm-AERA 
FC-D985CT-BF - Gas line 4- O2 50 sccm-AERA FC-D985CT-BF - Gas line 5- CH2F2 
30 sccm-AERA FC-D985CT-BF - Gas line 6- CHF3 200 sccm-AERA FC-D985CT-BF - 
Gas line 7- CF4 200 sccm-AERA FC-D985CT-BF - Gas line 8- C4F8 50 sccms-AERA 
FC-D985CT-BF - Gas line 9- C3F8 50 sccms-AERA FC-D985CT-BF - Gas line 10- 
C4F6 50 sccm-AERA FC-D985CT-BF - Gas line 11- O2 1000 sccm-AERA 
FC-D985CT-BF - Gas line 12- Ar 500 sccm-AERA FC-D985CT-BF - Purge: N2 
(Process Grade N2) - Filter: CNF1004USG4 (Nihon Pall) - Regulator: SQMICRO 
(VERIFLO) - Filter (N2): CNF1004USG4 (Nihon Pall) - Valve: Primary 
side(Utility-MFC):Mega mini (FUJIKIN) - Valve: Secondary side(MFC-PC):Mega 
one (FUJIKIN) - Piping: Dual Piping (for Gas leak containment, Gas box to 
Final valve &amp; Exhaust through Gas box) - Gas Leak Detection Port: 5 Ports 
(6.35mm, Swagelok L-type) - Final Pressure Switch: 51A (MKS) - Pressure 
Gauge: Bourdon</t>
  </si>
  <si>
    <t xml:space="preserve">103132</t>
  </si>
  <si>
    <t xml:space="preserve">Process:�OX</t>
  </si>
  <si>
    <t xml:space="preserve">102825</t>
  </si>
  <si>
    <t xml:space="preserve">Dielectric Etch, Oxide Process, 4 CHAMBER SCCM</t>
  </si>
  <si>
    <t xml:space="preserve">Process: OX Standard Specifications Software Revision: Linux 5.75 Rev 
001Lot Stability Dummy SW: Software for running lot stability wafer.OEE WPH 
Software: YesGEM SEC Revision: TBDWafer Size: Diameter 300+/- 0.20mm(SEMI 
M1.15), NotchCarrier: FOUP (Comply with SEMI E47.1 (25wafers))Inter Face: 5 
carrier stage (Continuous flow operation) with Semi compliant MENV and FIMS 
assembliesOnline Connection: GEM / CIM GJG (Hardware Interface : Ethernet 
100Base-Tx)Interface A: YesUtility Box: Regulator : Air/AR2500(SMC), 
N2/SQ-420E(VERIFLO), He/SQMICRO(VERIFLO)Utility Box: Manual Valve : 
OGD20V-6RM-K / OGD10V-4RM-K (CKD)Utility Box: Pressure Gauge : Bourdon 
GaugeLoader Mod Corrosion Prevent: NO, without Corrosion PreventLoad Lock 
Pressure Monitor: Pressure Switch : VSA100A (INFICON)Load Lock Pressure 
Monitor: Pirani gauge : TTR211S LEYBOLD)Load Lock Pressure Monitor: CM : 
626A01TDE (MKS)Maintenance Monitor: 2 (Flat Panel Display Touch Screen 
Type)Water Leak Detector: 5 (LM;1, each PS;1)Signal Tower: 
Red/Yellow/Green/Blue (Upper Left of Front x1 &amp; Upper right section of 
loader on maintenance side x1)Data Back up: USB&amp; MOEMO: Front x3, Rear 
x6Cable Length: One 15m and one 16m (Interconnection, RF cables)Inter 
Locks: External (When the I/L signal is received from Factory, gas valves 
are closed)Fittings: No brass fittingsSupporting Remote UnitsChiller: 
UBRPD5A-2T?Coolant: Lower:FC3283, Upper:FC40Chiller Hose: BRINE HOSE 
15/14MHandy Maintenance Controller: LCD DISPLAY UT3-TLN21-ARF Generator 
TOP: AGA-50B2RF Matcher TOP: AMN-50B2RF Generator Bottom: WGA-50EMatching 
Controller: WMN-50H6(2MHZ/5KW)(PS3)Pen Record Box: 2L80-00212-12Loader 
Module: SELME2112ZS22-AD5LOAD PORT: NO,Bolts-L typeDRIVE 
UNIT:SBX92102928READER OPTICAL: ISS-1700-1TELCCCarrier ID Reader: 
NO,V640series+V700-L22 (Omron)APC: 12 INCH (320MM)Hardware 
ConfigurationProc Chbr 1,2,3,4: SCCM Oxide; Y203 CoatingChamber hardware: 
FCCEndpoint type: SE2000iiESC type: Ceramics ESCwith STD VppFocus ring: 
3.4mmThunderwall He Gas Inlet: Ceramic Thunderwall with Ceramic pusher 
pinsPolished focus ring: OFC lower insulator: FC lower insulator w/quartz 
upper ring shieldMagnet Shield: OOring for Chbr Body-Depos: Armorcrystal, 
Chemraz SC657CEL Body ASSY: Brine Control ModeTMP: TMP-3403LMC-T4(VG300) 
(SHIMADZU)TMP Back Pressure Monitor: 51A11TGA2BA003 (MKS)Dry Pump: ESR80WN, 
KEG approvedFinal Valve, Heater: Valve; AGD21V-6RM-GWL4 (CKD)Filter: 
Filter; CEP-TM_HL-VR-03PB (Toshiba Ceramic)APC: Pendulum Motion Dia., 
320mm(VAT), R.T.~90degPressure Monitor: C/M (Process Monitor) : 627BRETDD2P 
(MKS), 45deg, 30PaPressure Monitor: C/M (Self Check) : 627B11TDC2P (MKS), 
45deg, 1330PaPressure Monitor: B.A. Gauge (CM Calibration) : BPG400 
(INFICON), 2.0x10-5 ~ 0.1PaPressure Monitor: N,41A13DGA2AA040 (MKS), no 
process impactPressure Monitor: Pressure Switch : 51A11TGA2BA010 (MKS), 
H2/fluoro gasGas Box ConfigurationGas line 1- N2 1000 sccm-AERA 
FCD985CT-BFGas line 2- C4F8 200 sccm-AERA FC-D985CT-BFGas line 3- Ar 2000 
sccm-AERA FC-D985CT-BFGas line 4- O2 50 sccm-AERA FC-D985CT-BFGas line 5- 
CH2F2 30 sccm-AERA FC-D985CT-BFGas line 6- CHF3 200 sccm-AERA 
FC-D985CT-BFGas line 7- CF4 200 sccm-AERA FC-D985CT-BFGas line 8- C4F8 50 
sccms-AERA FC-D985CT-BFGas line 9- C3F8 50 sccms-AERA FC-D985CT-BFGas line 
10- C4F6 50 sccm-AERA FC-D985CT-BFGas line 11- O2 1000 sccm-AERA 
FC-D985CT-BFGas line 12- Ar 500 sccm-AERA FC-D985CT-BFPurge: N2 (Process 
Grade N2)Filter: CNF1004USG4 (Nihon Pall)Regulator: SQMICRO (VERIFLO)Filter 
(N2): CNF1004USG4 (Nihon Pall)Valve: Primary side(Utility-MFC):Mega mini 
(FUJIKIN)Valve: Secondary side(MFC-PC):Mega one (FUJIKIN)Piping: Dual 
Piping (for Gas leak containment, Gas box to Final valve &amp; Exhaust through 
Gas box)Gas Leak Detection Port: 5 Ports (6.35mm, Swagelok L-type)Final 
Pressure Switch: 51A (MKS)Pressure Gauge: Bourdon</t>
  </si>
  <si>
    <t xml:space="preserve">102826</t>
  </si>
  <si>
    <t xml:space="preserve"> Installed - In Production Process: OXStandard SpecificationsSoftware 
Revision: Linux 5.75 Rev 001Lot Stability Dummy SW: Software for running 
lot stability wafer.OEE WPH Software: YesGEM SEC Revision: TBDWafer Size: 
Diameter 300+/- 0.20mm(SEMI M1.15), NotchCarrier: FOUP (Comply with SEMI 
E47.1 (25wafers))Inter Face: 5 carrier stage (Continuous flow operation) 
with Semi compliant MENV and FIMS assembliesOnline Connection: GEM / CIM 
GJG (Hardware Interface : Ethernet 100Base-Tx)Interface A: YesUtility Box: 
Regulator : Air/AR2500(SMC), N2/SQ-420E(VERIFLO), 
He/SQMICRO(VERIFLO)Utility Box: Manual Valve : OGD20V-6RM-K / OGD10V-4RM-K 
(CKD)Utility Box: Pressure Gauge : Bourdon GaugeLoader Mod Corrosion 
Prevent: NO, without Corrosion PreventLoad Lock Pressure Monitor: Pressure 
Switch : VSA100A (INFICON)Load Lock Pressure Monitor: Pirani gauge : 
TTR211S LEYBOLD)Load Lock Pressure Monitor: CM : 626A01TDE (MKS)Maintenance 
Monitor: 2 (Flat Panel Display Touch Screen Type)Water Leak Detector: 5 
(LM;1, each PS;1)Signal Tower: Red/Yellow/Green/Blue (Upper Left of Front 
x1 &amp; Upper right section of loader on maintenance side x1)Data Back up: 
USB&amp; MOEMO: Front x3, Rear x6Cable Length: One 15m and one 16m 
(Interconnection, RF cables)Inter Locks: External (When the I/L signal is 
received from Factory, gas valves are closed)Fittings: No brass 
fittingsSupporting Remote UnitsChiller: UBRPD5A-2T?Coolant: Lower:FC3283, 
Upper:FC40Chiller Hose: BRINE HOSE 15/14MHandy Maintenance Controller: LCD 
DISPLAY UT3-TLN21-ARF Generator TOP: AGA-50B2RF Matcher TOP: AMN-50B2RF 
Generator Bottom: WGA-50EMatching Controller: WMN-50H6(2MHZ/5KW)(PS3)Pen 
Record Box: 2L80-00212-12Loader Module: SELME2112ZS22-AD5LOAD PORT: 
NO,Bolts-L typeDRIVE UNIT:SBX92102928READER OPTICAL: ISS-1700-1TELCCCarrier 
ID Reader: NO,V640series+V700-L22 (Omron)APC: 12 INCH (320MM)Hardware 
ConfigurationProc Chbr 1,2,3,4: SCCM Oxide; Y203 CoatingChamber hardware: 
FCCEndpoint type: SE2000iiESC type: Ceramics ESCwith STD VppFocus ring: 
3.4mmThunderwall He Gas Inlet: Ceramic Thunderwall with Ceramic pusher 
pinsPolished focus ring: OFC lower insulator: FC lower insulator w/quartz 
upper ring shieldMagnet Shield: OOring for Chbr Body-Depos: Armorcrystal, 
Chemraz SC657CEL Body ASSY: Brine Control ModeTMP: TMP-3403LMC-T4(VG300) 
(SHIMADZU)TMP Back Pressure Monitor: 51A11TGA2BA003 (MKS)Dry Pump: ESR80WN, 
KEG approvedFinal Valve, Heater: Valve; AGD21V-6RM-GWL4 (CKD)Filter: 
Filter; CEP-TM_HL-VR-03PB (Toshiba Ceramic)APC: Pendulum Motion Dia., 
320mm(VAT), R.T.~90degPressure Monitor: C/M (Process Monitor) : 627BRETDD2P 
(MKS), 45deg, 30PaPressure Monitor: C/M (Self Check) : 627B11TDC2P (MKS), 
45deg, 1330PaPressure Monitor: B.A. Gauge (CM Calibration) : BPG400 
(INFICON), 2.0x10-5 ~ 0.1PaPressure Monitor: N,41A13DGA2AA040 (MKS), no 
process impactPressure Monitor: Pressure Switch : 51A11TGA2BA010 (MKS), 
H2/fluoro gasGas Box ConfigurationGas line 1- N2 1000 sccm-AERA 
FCD985CT-BFGas line 2- C4F8 200 sccm-AERA FC-D985CT-BFGas line 3- Ar 2000 
sccm-AERA FC-D985CT-BFGas line 4- O2 50 sccm-AERA FC-D985CT-BFGas line 5- 
CH2F2 30 sccm-AERA FC-D985CT-BFGas line 6- CHF3 200 sccm-AERA 
FC-D985CT-BFGas line 7- CF4 200 sccm-AERA FC-D985CT-BFGas line 8- C4F8 50 
sccms-AERA FC-D985CT-BFGas line 9- C3F8 50 sccms-AERA FC-D985CT-BFGas line 
10- C4F6 50 sccm-AERA FC-D985CT-BFGas line 11- O2 1000 sccm-AERA 
FC-D985CT-BFGas line 12- Ar 500 sccm-AERA FC-D985CT-BFPurge: N2 (Process 
Grade N2)Filter: CNF1004USG4 (Nihon Pall)Regulator: SQMICRO (VERIFLO)Filter 
(N2): CNF1004USG4 (Nihon Pall)Valve: Primary side(Utility-MFC):Mega mini 
(FUJIKIN)Valve: Secondary side(MFC-PC):Mega one (FUJIKIN)Piping: Dual 
Piping (for Gas leak containment, Gas box to Final valve &amp; Exhaust through 
Gas box)Gas Leak Detection Port: 5 Ports (6.35mm, Swagelok L-type)Final 
Pressure Switch: 51A (MKS)Pressure Gauge: Bourdon</t>
  </si>
  <si>
    <t xml:space="preserve">98307</t>
  </si>
  <si>
    <t xml:space="preserve">TRIAS</t>
  </si>
  <si>
    <t xml:space="preserve">102436</t>
  </si>
  <si>
    <t xml:space="preserve">Trias</t>
  </si>
  <si>
    <t xml:space="preserve">CVD TiN</t>
  </si>
  <si>
    <t xml:space="preserve">102437</t>
  </si>
  <si>
    <t xml:space="preserve">Liner/Barrier - Ru CVD, iPVD TaN, iPVD Cu</t>
  </si>
  <si>
    <t xml:space="preserve">91242</t>
  </si>
  <si>
    <t xml:space="preserve">TRIAS CHAMBER ONLY</t>
  </si>
  <si>
    <t xml:space="preserve">LT TI (N2/H2/CIF3)</t>
  </si>
  <si>
    <t xml:space="preserve">91239</t>
  </si>
  <si>
    <t xml:space="preserve">LT TI (NH3/H2/CIF3)</t>
  </si>
  <si>
    <t xml:space="preserve">91240</t>
  </si>
  <si>
    <t xml:space="preserve">91241</t>
  </si>
  <si>
    <t xml:space="preserve">91243</t>
  </si>
  <si>
    <t xml:space="preserve">91244</t>
  </si>
  <si>
    <t xml:space="preserve">93054</t>
  </si>
  <si>
    <t xml:space="preserve">LT TI/TIN (N2/NH3/H2/Ar/CIF3)</t>
  </si>
  <si>
    <t xml:space="preserve">93055</t>
  </si>
  <si>
    <t xml:space="preserve">93056</t>
  </si>
  <si>
    <t xml:space="preserve">93057</t>
  </si>
  <si>
    <t xml:space="preserve">91245</t>
  </si>
  <si>
    <t xml:space="preserve">LT TIN (N2/NH3/N2/CIF3)</t>
  </si>
  <si>
    <t xml:space="preserve">94481</t>
  </si>
  <si>
    <t xml:space="preserve">TRIAS Chamber only</t>
  </si>
  <si>
    <t xml:space="preserve">94482</t>
  </si>
  <si>
    <t xml:space="preserve">103133</t>
  </si>
  <si>
    <t xml:space="preserve">Trias Ti/TiN</t>
  </si>
  <si>
    <t xml:space="preserve">Metal CVD (Chemical Vapor Deposition) </t>
  </si>
  <si>
    <t xml:space="preserve">CVD 15-3TEL_TRIAS_TIN4 TEL TRIAS TIN4</t>
  </si>
  <si>
    <t xml:space="preserve">103134</t>
  </si>
  <si>
    <t xml:space="preserve">Trias W</t>
  </si>
  <si>
    <t xml:space="preserve">MOCVD - Deposition Equipment</t>
  </si>
  <si>
    <t xml:space="preserve">Current Condition: Installed - In Production - Tool is operating in clean 
room. - [Chamber A] Process: W Hard: SFD Gas(sccm): WF6(150/450), 
ClF3(1000), Ar(7000), SiH4(200/800), H2(2000/6000), N2(2000), Ar(7000), 
H2(1000/3000) - [Chamber B] Process: W Hard: SFD Gas(sccm): WF6(150/450), 
ClF3(1000), Ar(7000), SiH4(200/800), H2(2000/6000), N2(2000), Ar(7000), 
H2(1000/3000) - [Chamber C] Process: W Hard: SFD Gas(sccm): WF6(150/450), 
ClF3(1000), Ar(7000), SiH4(200/800), H2(2000/6000), N2(2000), Ar(7000), 
H2(1000/3000) -</t>
  </si>
  <si>
    <t xml:space="preserve">102827</t>
  </si>
  <si>
    <t xml:space="preserve">MOCVD 3 CH WHARD Type</t>
  </si>
  <si>
    <t xml:space="preserve">Tool is operating in clean room. .[Chamber A]Process: WHard: SFDGas(sccm): 
WF6(150/450), ClF3(1000), Ar(7000), SiH4(200/800), H2(2000/6000), N2(2000), 
Ar(7000), H2(1000/3000)[Chamber B]Process: WHard: SFDGas(sccm): 
WF6(150/450), ClF3(1000), Ar(7000), SiH4(200/800), H2(2000/6000), N2(2000), 
Ar(7000), H2(1000/3000)[Chamber C]Process: WHard: SFDGas(sccm): 
WF6(150/450), ClF3(1000), Ar(7000), SiH4(200/800), H2(2000/6000), N2(2000), 
Ar(7000), H2(1000/3000)Missing or damaged parts: none.</t>
  </si>
  <si>
    <t xml:space="preserve">102828</t>
  </si>
  <si>
    <t xml:space="preserve">MOCVD 4 CH W HARD TYPE</t>
  </si>
  <si>
    <t xml:space="preserve"> Installed - In Production [Chamber A, B, C, D] Process: W Hard: SFD 
Gas(sccm): WF6(150/450), ClF3(1000), Ar(7000), SiH4(200/800), 
H2(2000/6000), N2(2000), Ar(7000), H2(1000/3000)</t>
  </si>
  <si>
    <t xml:space="preserve">94483</t>
  </si>
  <si>
    <t xml:space="preserve">TRIAS_EX-2 Chamber only</t>
  </si>
  <si>
    <t xml:space="preserve">102830</t>
  </si>
  <si>
    <t xml:space="preserve">Triase+ EX-II Plus Ti/TiN</t>
  </si>
  <si>
    <t xml:space="preserve">Metal CVD (Chemical Vapor Deposition) - Deposition Equipment</t>
  </si>
  <si>
    <t xml:space="preserve"> Installed - In Production TRIASEX2PL_HTTIN_04 - HTTN</t>
  </si>
  <si>
    <t xml:space="preserve">103135</t>
  </si>
  <si>
    <t xml:space="preserve">Triase+ Ti/TiN</t>
  </si>
  <si>
    <t xml:space="preserve"> 1. Main System 1-1. TRIAS e+ Platform - Load Port*3 (12" wafer) - Loader 
Module - Lord Lock Module with Cooling*3 - Power Distribution Unit - Trias 
Software - PF S2-0200 Safety - 1-2. Ti Process Module(2 Sets) - PCOT Ti 
Chamber - Gas Box - RF Generation Unit - Milaebo Trap Interface - Milaebo 
Trap Software - 1-3. TiN Process Module(2 Sets) - PCOT TiN Chamber - Gas 
Box - Korea Trap Interface - Korea Trap Software - Accessory Parts 2-1. PF 
Accessory Load Port UI Fixing at LM Right Side EFEM &amp; FAN Check Monitor TM, 
LLM Leak Check Port Manual Valve Transfer Navigation System PF Outer Cable 
Edge Grip Blade LM Fluorescent Light TM RGA PORT (w/o Manual Valve) - 2-2. 
Ti PM Accessory(2 sets) Ti Leak Check Port Ti PM Outer Cable Ti Gas Box 
ClF3, H2, NH3 LINE - 2-3. TiN PM Accessory(2 sets) TiN Leak Check Port TiN 
High Coverage Process Kit TiN PM Outer Cable - 2-4. Utility Accessory 
Utility Interconnection Gas Female FDC Signal Tower CVCF�Correspondence 
Rear Step Cable Tray - 2-5. Safety PF, PM S2-0200 Korean &amp; English Safety 
Label for PF and PM - 2-6. Software &amp; AGV Standard GEM,GJG On Line OHT&amp;AGV 
I/O Monitor Correspondence Omron Carrier ID Reader Correspondence Wafer Log 
Wafer ID, PPID, PRJOBID - - HP-Ti Kit for Ti ModuleSFD Kit For TiN 
ModuleKorea Trap - - -</t>
  </si>
  <si>
    <t xml:space="preserve">102439</t>
  </si>
  <si>
    <t xml:space="preserve">TSP 305 SCCM TE</t>
  </si>
  <si>
    <t xml:space="preserve">Dielectric Etch</t>
  </si>
  <si>
    <t xml:space="preserve">98043</t>
  </si>
  <si>
    <t xml:space="preserve">Unity 2e 855DD (DRM Chamber)</t>
  </si>
  <si>
    <t xml:space="preserve">DRM Chamber</t>
  </si>
  <si>
    <t xml:space="preserve">98044</t>
  </si>
  <si>
    <t xml:space="preserve">Unity 2e 855DP (Poly Chamber)</t>
  </si>
  <si>
    <t xml:space="preserve">96968</t>
  </si>
  <si>
    <t xml:space="preserve">UW200Z</t>
  </si>
  <si>
    <t xml:space="preserve">98846</t>
  </si>
  <si>
    <t xml:space="preserve">VIGUS Mask</t>
  </si>
  <si>
    <t xml:space="preserve">-deinstalled and warehoused.
-see attached photos for details
-used for oxide process</t>
  </si>
  <si>
    <t xml:space="preserve">93040</t>
  </si>
  <si>
    <t xml:space="preserve">VIGUS MASK</t>
  </si>
  <si>
    <t xml:space="preserve">ETCH</t>
  </si>
  <si>
    <t xml:space="preserve">93041</t>
  </si>
  <si>
    <t xml:space="preserve">93042</t>
  </si>
  <si>
    <t xml:space="preserve">98847</t>
  </si>
  <si>
    <t xml:space="preserve">VIGUS RK2</t>
  </si>
  <si>
    <t xml:space="preserve">91246</t>
  </si>
  <si>
    <t xml:space="preserve">TEL/Varian</t>
  </si>
  <si>
    <t xml:space="preserve">MB2-730</t>
  </si>
  <si>
    <t xml:space="preserve">WSIX</t>
  </si>
  <si>
    <t xml:space="preserve">103015</t>
  </si>
  <si>
    <t xml:space="preserve">Temescal</t>
  </si>
  <si>
    <t xml:space="preserve">BJD 1800</t>
  </si>
  <si>
    <t xml:space="preserve">E Beam Evaporator, 7" Crucible</t>
  </si>
  <si>
    <t xml:space="preserve">Includes: Model TP-8- Lift-Off Substrate Fixture. Single dome configured 
for 4" wafers Other Information: 18" in diameter x 9" high stainless steel 
substrate dome chamber 4" veiw port Airco Temescal VersaVac 2 
Thermocouple/Ionization gauge Airco Temescal CV-8A Power Supply Airco 
Temescal XYS-8 Sweep Control FDC 8000 Film Thickness Monitor</t>
  </si>
  <si>
    <t xml:space="preserve">103016</t>
  </si>
  <si>
    <t xml:space="preserve">VES 2550</t>
  </si>
  <si>
    <t xml:space="preserve">High Volume E Beam Evaporator</t>
  </si>
  <si>
    <t xml:space="preserve">Deposition chamber: Water cooled 25.5"dia x 12"high Source Chamber 
Pnuematically actuated 27.5"dia Can accomodate upto three sources Telemark 
model TT10 power supply, p/n:123-1003-1 Telemark TT10/15 controller 
Telemark 376 crucible indexer Model TP-8, 2", substrate fixture for lift 
off process. Up to 162 2" substrates CTI 8510 Cryo compressor Source Number 
Two--Option: Temescal SFIH-270-2 Single 40cc pocket; 14kW rating, Telemark 
TT6 Power Supply TT3/6 Controller Inficon dual crystal monitor Inficon 
oscillator package Shutter for source Feedthroughs One MKS 10 SCCM O2 MFC 
with shut off valve</t>
  </si>
  <si>
    <t xml:space="preserve">103179</t>
  </si>
  <si>
    <t xml:space="preserve">Temescal  </t>
  </si>
  <si>
    <t xml:space="preserve">BJD-1800 </t>
  </si>
  <si>
    <t xml:space="preserve">DETAILS: TEMESCAL BJD-1800 E-BEAM EVAPORATOR consisting of: - Model 
BJD-1800 - 6 Pockets - 6” Lift-Off Dome (holds 4 wafers) - Temescal Power 
Supply - Inficon IC5 crystal deposition rate - CTI Cryogenics Cryopump &amp; 
Compressor - Vacuum Pump CONDITION: Excellent Condition Guaranteed. Fully 
Refurbished to Factory Specifications. 6 Month Warranty and Full 
Specifications Guarantee. 30 Day Right of Return.</t>
  </si>
  <si>
    <t xml:space="preserve">99432</t>
  </si>
  <si>
    <t xml:space="preserve">Tempress</t>
  </si>
  <si>
    <t xml:space="preserve">12467</t>
  </si>
  <si>
    <t xml:space="preserve">Series 401 Dicing Wheel</t>
  </si>
  <si>
    <t xml:space="preserve">190</t>
  </si>
  <si>
    <t xml:space="preserve">TEMPRESS 12467 Blade is for Silicon Width of Blade is 0.0010” to 0.0015” 
Exposure or Length of Blade is 0.025” to 0.030” Over all Diameter is 2.187” 
Inside hole is 0.750”</t>
  </si>
  <si>
    <t xml:space="preserve">101686</t>
  </si>
  <si>
    <t xml:space="preserve">Temptronic</t>
  </si>
  <si>
    <t xml:space="preserve">TPO3200 </t>
  </si>
  <si>
    <t xml:space="preserve">102576</t>
  </si>
  <si>
    <t xml:space="preserve">TEMPTRONIC</t>
  </si>
  <si>
    <t xml:space="preserve">TPO4200A-3C31-4</t>
  </si>
  <si>
    <t xml:space="preserve">Environmental Chamber</t>
  </si>
  <si>
    <t xml:space="preserve">101687</t>
  </si>
  <si>
    <t xml:space="preserve">Temptronic </t>
  </si>
  <si>
    <t xml:space="preserve">TPO3010 </t>
  </si>
  <si>
    <t xml:space="preserve">102982</t>
  </si>
  <si>
    <t xml:space="preserve">TEMPTRONICS</t>
  </si>
  <si>
    <t xml:space="preserve">TPO4300A</t>
  </si>
  <si>
    <t xml:space="preserve">Temp Forcing System</t>
  </si>
  <si>
    <t xml:space="preserve">102983</t>
  </si>
  <si>
    <t xml:space="preserve">33722</t>
  </si>
  <si>
    <t xml:space="preserve">TENCOR</t>
  </si>
  <si>
    <t xml:space="preserve">AlphaStep 300</t>
  </si>
  <si>
    <t xml:space="preserve">Profilometer</t>
  </si>
  <si>
    <t xml:space="preserve">    *  Mfg: 4/92
    * ±10 mm Scan Length
    * 2 to 250 µm/sec Scan Speed
    * 50/sec nominal Sampling Rate
    * Vertical Resolution
    * 1Å Resolution ±6.5 µm
          o 25Å Resolution ±150µm
    * 1.0-100 mg Stylus Programmable Force Range
    * 0.1 mg Stylus Programmable Force Resolution
    * 210 mm X, Y Maximum Travel
    * 254 x 254 mm Maximum Sample Size</t>
  </si>
  <si>
    <t xml:space="preserve">10113</t>
  </si>
  <si>
    <t xml:space="preserve">Unpatterned Wafer Surface Inspection Tool - Parts Tool Only</t>
  </si>
  <si>
    <t xml:space="preserve">103045</t>
  </si>
  <si>
    <t xml:space="preserve">Tenney</t>
  </si>
  <si>
    <t xml:space="preserve">BTC</t>
  </si>
  <si>
    <t xml:space="preserve">Temperature Test Chamber</t>
  </si>
  <si>
    <t xml:space="preserve">Digital programmable controller. Temp. Range: -70°C to +200°C. Inside 
Dimensions: 20” L x 19” W x 22” H. 2” cable port. 230V, 1 Ph, 60 Hz, 23A.</t>
  </si>
  <si>
    <t xml:space="preserve">103046</t>
  </si>
  <si>
    <t xml:space="preserve">Well suited for electronic, military, and pharmaceutical quality assurance 
and reliability testing, along with research testing and production 
processes. Digital programmable controller. Temp. Range: -70°C to +200°C. 
Inside Dimensions: 20” L x 19” W x 22” H. 2” cable port. 230V, 1 Ph, 60 Hz, 
23A. Some minor scratches.</t>
  </si>
  <si>
    <t xml:space="preserve">103047</t>
  </si>
  <si>
    <t xml:space="preserve">103048</t>
  </si>
  <si>
    <t xml:space="preserve">Well suited for electronic, military, and pharmaceutical quality assurance 
and reliability testing, along with research testing and production 
processes. Digital programmable controller. Temp. Range: -70°C to +200°C. 
Inside Dimensions: 20” L x 19” W x 22” H. 2” cable port. 230V, 1 Ph, 60 Hz, 
23A.</t>
  </si>
  <si>
    <t xml:space="preserve">103049</t>
  </si>
  <si>
    <t xml:space="preserve">TUJR</t>
  </si>
  <si>
    <t xml:space="preserve">Ultra Low Temperature Environmental Chamber</t>
  </si>
  <si>
    <t xml:space="preserve">The Tenney TUJR�is a portable, self-contained, temperature-controlled test 
chamber. Compact exterior dimensions, in combination with ample interior 
workspace, make this chamber ideal for laboratory testing.The Tenney TUJR 
is well-suited for use in electronic, military, and pharmaceutical quality 
assurance and reliability testing, as well as research testing and 
production processes. As specified, the chamber is mechanically 
refrigerated by means of a cascade system of time proven design. Digital 
Programmable controller. Chart recorder. Specifications of the Tenney TUJR 
include: Temperature range of -75c to +200c. Interior Dimensions 11"L x 
16"W x 12"H. Unit also has optional LN2 boost option installed for faster 
cool down times. 115V, 60Hz, 18A</t>
  </si>
  <si>
    <t xml:space="preserve">103017</t>
  </si>
  <si>
    <t xml:space="preserve">Tepla</t>
  </si>
  <si>
    <t xml:space="preserve">4011</t>
  </si>
  <si>
    <t xml:space="preserve">Planar Plasma Etcher</t>
  </si>
  <si>
    <t xml:space="preserve">Specification Process chamber: Material Aluminum Width 820 mm Height 138 mm 
Depth 706 mm Chamber door: Aluminum, quartz inspection window with 
ultraviolet and high-frequency radiation protection Vacuum system Process 
pressure: Approx. 0.1 - 1 mbar Gas and vacuum piping: High-grade steel, ¼“ 
Swagelok connections as well as aluminum KF components Gas supply: 2 - 4 
separate gas ducts (2 option, metering by means of mass-flow controller 
Venting: By means of solenoid valve and series throttle valve Vacuum: 
Ultimate pressure attainable: Approx. 0.01 mbar Vacuum measurement: 
Capacitive pressure gauge measuring range from 0.01 to 10 mbar The suction 
system is located in the bottom of the chamber. Electro-pneumatic valve DN 
65 ISO-K in suction line. (Optional) Dimensions: Height: approx. 1720 mm 
Width: approx. 1615 mm Depth: approx. 950 mm Weight: approx. 800 kg</t>
  </si>
  <si>
    <t xml:space="preserve">102445</t>
  </si>
  <si>
    <t xml:space="preserve">Teradyne</t>
  </si>
  <si>
    <t xml:space="preserve">IP750</t>
  </si>
  <si>
    <t xml:space="preserve">CIS Tester</t>
  </si>
  <si>
    <t xml:space="preserve">102440</t>
  </si>
  <si>
    <t xml:space="preserve">102441</t>
  </si>
  <si>
    <t xml:space="preserve">102442</t>
  </si>
  <si>
    <t xml:space="preserve">102443</t>
  </si>
  <si>
    <t xml:space="preserve">102444</t>
  </si>
  <si>
    <t xml:space="preserve">102446</t>
  </si>
  <si>
    <t xml:space="preserve">IP750EP</t>
  </si>
  <si>
    <t xml:space="preserve">102447</t>
  </si>
  <si>
    <t xml:space="preserve">IP750EX</t>
  </si>
  <si>
    <t xml:space="preserve">102448</t>
  </si>
  <si>
    <t xml:space="preserve">102449</t>
  </si>
  <si>
    <t xml:space="preserve">IP750S</t>
  </si>
  <si>
    <t xml:space="preserve">102531</t>
  </si>
  <si>
    <t xml:space="preserve">TERADYNE</t>
  </si>
  <si>
    <t xml:space="preserve">J750</t>
  </si>
  <si>
    <t xml:space="preserve">ADM Board P/N: 517-404-01 </t>
  </si>
  <si>
    <t xml:space="preserve">102532</t>
  </si>
  <si>
    <t xml:space="preserve">APMU Board P/N: 517-400-01 </t>
  </si>
  <si>
    <t xml:space="preserve">102533</t>
  </si>
  <si>
    <t xml:space="preserve">CTO Board P/N:239-029-02 </t>
  </si>
  <si>
    <t xml:space="preserve">102534</t>
  </si>
  <si>
    <t xml:space="preserve">DPS Board P/N: 239-016-0X </t>
  </si>
  <si>
    <t xml:space="preserve">102535</t>
  </si>
  <si>
    <t xml:space="preserve">HSD100 Channel Board (16M) </t>
  </si>
  <si>
    <t xml:space="preserve">102536</t>
  </si>
  <si>
    <t xml:space="preserve">HSD100 Channel Board (4M) </t>
  </si>
  <si>
    <t xml:space="preserve">102537</t>
  </si>
  <si>
    <t xml:space="preserve">MTO Board P/N: 239-014-02 </t>
  </si>
  <si>
    <t xml:space="preserve">102530</t>
  </si>
  <si>
    <t xml:space="preserve">102538</t>
  </si>
  <si>
    <t xml:space="preserve">J750EX</t>
  </si>
  <si>
    <t xml:space="preserve">102539</t>
  </si>
  <si>
    <t xml:space="preserve">J750EX  </t>
  </si>
  <si>
    <t xml:space="preserve">DSMTO Board P/N:239-701-00 </t>
  </si>
  <si>
    <t xml:space="preserve">102451</t>
  </si>
  <si>
    <t xml:space="preserve">J973</t>
  </si>
  <si>
    <t xml:space="preserve">102452</t>
  </si>
  <si>
    <t xml:space="preserve">Magnum 2x GVLC</t>
  </si>
  <si>
    <t xml:space="preserve">Electrical Testing</t>
  </si>
  <si>
    <t xml:space="preserve">102797</t>
  </si>
  <si>
    <t xml:space="preserve">Magnum V SSV (FT)</t>
  </si>
  <si>
    <t xml:space="preserve"> Installed - Connected, Power Off Magnum V SSV For final test applications 
Configurable up to 10,240 digital pins Integrated with Teradyne Vertical 
Plane Manipulator for efficient docking to industry standard device 
handlers</t>
  </si>
  <si>
    <t xml:space="preserve">102540</t>
  </si>
  <si>
    <t xml:space="preserve">UFLEX HD TYPE</t>
  </si>
  <si>
    <t xml:space="preserve">102541</t>
  </si>
  <si>
    <t xml:space="preserve">UFLEX SC TYPE</t>
  </si>
  <si>
    <t xml:space="preserve">102542</t>
  </si>
  <si>
    <t xml:space="preserve">UFLEX XC TYPE</t>
  </si>
  <si>
    <t xml:space="preserve">102543</t>
  </si>
  <si>
    <t xml:space="preserve">ULTRA FLEX</t>
  </si>
  <si>
    <t xml:space="preserve">BBAC Board P/N: 974-214-02 </t>
  </si>
  <si>
    <t xml:space="preserve">102544</t>
  </si>
  <si>
    <t xml:space="preserve">DCIO Board  P/N: 974-390-02 </t>
  </si>
  <si>
    <t xml:space="preserve">102545</t>
  </si>
  <si>
    <t xml:space="preserve">HDVS Board P/N: 974-232-00 </t>
  </si>
  <si>
    <t xml:space="preserve">102546</t>
  </si>
  <si>
    <t xml:space="preserve">HSD1000 Board P/N: 974-331-44 </t>
  </si>
  <si>
    <t xml:space="preserve">102547</t>
  </si>
  <si>
    <t xml:space="preserve">UP800 Board P/N: 974-242-10/11 </t>
  </si>
  <si>
    <t xml:space="preserve">102548</t>
  </si>
  <si>
    <t xml:space="preserve">UPAC80 Board P/N: 605-743-01 </t>
  </si>
  <si>
    <t xml:space="preserve">102549</t>
  </si>
  <si>
    <t xml:space="preserve">UVI80 Board P/N: 604-375-02 </t>
  </si>
  <si>
    <t xml:space="preserve">102550</t>
  </si>
  <si>
    <t xml:space="preserve">VHFAC Board P/N: 805-014-00 </t>
  </si>
  <si>
    <t xml:space="preserve">98046</t>
  </si>
  <si>
    <t xml:space="preserve">TERADYNE	</t>
  </si>
  <si>
    <t xml:space="preserve">103180</t>
  </si>
  <si>
    <t xml:space="preserve">Termaks </t>
  </si>
  <si>
    <t xml:space="preserve">TS8024 </t>
  </si>
  <si>
    <t xml:space="preserve">Lab Drying Convection Oven</t>
  </si>
  <si>
    <t xml:space="preserve">Configuration: 24 liters, 250 degrees C Max DETAILS: TERMAKS MODEL TS8024 
LAB DRYING OVEN consisting of: - Model: TS 8024 - Lab Drying Convection 
Oven - Temperature: 250C max - Temperature variation (time): +/- 1C - 
Temperature deviation (spatial): +/- % 1.5 - Readability/set ability: 1 C - 
Interior dimensions: 24 liters 12.79" W (325mm) 10.62" D (270mm) 10.62" H 
(270mm) - PID Controller - LED Display - Alarm Flashing / Acoustic: 
Included with-in the controller - Alarm limit: settable - Fan speed : 
adjustable in 4 steps - Heating ramp rate: 250C in 40 minutes - Heat 
transfer at 250C 400 watts - Number of air changes per hour: 110 - 
Ventilation Slide: yes - Max load per shelf: 44lbs These technical data are 
specified for an empty cabinet and ambient temperature of 23�C</t>
  </si>
  <si>
    <t xml:space="preserve">33771</t>
  </si>
  <si>
    <t xml:space="preserve">TERRA UNIVERSAL</t>
  </si>
  <si>
    <t xml:space="preserve">8 Tank</t>
  </si>
  <si>
    <t xml:space="preserve">Stainless Steel Sink with 8ea 14" X 14" X 12" (d) Tanks</t>
  </si>
  <si>
    <t xml:space="preserve">    * Stainless Steel Sink
    * 8 Tanks - 14" x 14" x 12"(d) Each
    * Overall Size - 65" x 35" x 36" Tall</t>
  </si>
  <si>
    <t xml:space="preserve">64782</t>
  </si>
  <si>
    <t xml:space="preserve">Dessicator Box</t>
  </si>
  <si>
    <t xml:space="preserve">Static Dissipative PVC, 4 Shelves each 36"(w) x 25"(d) x 9" (h), 2 Doors</t>
  </si>
  <si>
    <t xml:space="preserve">87901</t>
  </si>
  <si>
    <t xml:space="preserve">TES</t>
  </si>
  <si>
    <t xml:space="preserve">CHALLENGER_ST</t>
  </si>
  <si>
    <t xml:space="preserve">Plasma-Enhanced CVD system</t>
  </si>
  <si>
    <t xml:space="preserve">88141</t>
  </si>
  <si>
    <t xml:space="preserve">TEST  BENCH</t>
  </si>
  <si>
    <t xml:space="preserve">8921SC13</t>
  </si>
  <si>
    <t xml:space="preserve">61012</t>
  </si>
  <si>
    <t xml:space="preserve">THERMA-WAVE</t>
  </si>
  <si>
    <t xml:space="preserve">OP 2600B</t>
  </si>
  <si>
    <t xml:space="preserve">Good condition, warehoused, several available.
See photos for details.</t>
  </si>
  <si>
    <t xml:space="preserve">98438</t>
  </si>
  <si>
    <t xml:space="preserve">Thermawave</t>
  </si>
  <si>
    <t xml:space="preserve">OP 5340</t>
  </si>
  <si>
    <t xml:space="preserve">150/200/300 mm</t>
  </si>
  <si>
    <t xml:space="preserve">101809</t>
  </si>
  <si>
    <t xml:space="preserve">OP-2600</t>
  </si>
  <si>
    <t xml:space="preserve">thickness measurement System</t>
  </si>
  <si>
    <t xml:space="preserve">101810</t>
  </si>
  <si>
    <t xml:space="preserve">ThrmaProbe-420</t>
  </si>
  <si>
    <t xml:space="preserve">Lattice Defects measurement</t>
  </si>
  <si>
    <t xml:space="preserve">91569</t>
  </si>
  <si>
    <t xml:space="preserve">Thermo Fisher</t>
  </si>
  <si>
    <t xml:space="preserve">ECO 1000</t>
  </si>
  <si>
    <t xml:space="preserve">FTIR System</t>
  </si>
  <si>
    <t xml:space="preserve">De-installed, warehoused. Can be inspected by appointment.
-Vintage: Jun 2000
-Dual open 8 inch cassette loader configuration
-The laser complied with DHHS/CDRH requirements of 21CFR Chapter 1, 
Subchapter J at the time of manufacture.
AC Voltage: 110-240 VAC, monophase.</t>
  </si>
  <si>
    <t xml:space="preserve">101851</t>
  </si>
  <si>
    <t xml:space="preserve">OMH60-S</t>
  </si>
  <si>
    <t xml:space="preserve">Ovens Heratherm</t>
  </si>
  <si>
    <t xml:space="preserve">oven</t>
  </si>
  <si>
    <t xml:space="preserve">103148</t>
  </si>
  <si>
    <t xml:space="preserve">THERMONICS</t>
  </si>
  <si>
    <t xml:space="preserve">T-2500SEA</t>
  </si>
  <si>
    <t xml:space="preserve">Precision Temperature Forcing System</t>
  </si>
  <si>
    <t xml:space="preserve">98047</t>
  </si>
  <si>
    <t xml:space="preserve">Temperature Forcing Unit</t>
  </si>
  <si>
    <t xml:space="preserve">102454</t>
  </si>
  <si>
    <t xml:space="preserve">Thermonics</t>
  </si>
  <si>
    <t xml:space="preserve">T2500SE</t>
  </si>
  <si>
    <t xml:space="preserve">Temperature Forcing System</t>
  </si>
  <si>
    <t xml:space="preserve">102455</t>
  </si>
  <si>
    <t xml:space="preserve">T2500SEA</t>
  </si>
  <si>
    <t xml:space="preserve">103050</t>
  </si>
  <si>
    <t xml:space="preserve">Thermotron</t>
  </si>
  <si>
    <t xml:space="preserve">SE-1200-5-5</t>
  </si>
  <si>
    <t xml:space="preserve">Ultra Low Temperature and Humidity Environmental Chamber</t>
  </si>
  <si>
    <t xml:space="preserve">Digital programmable Watlow F4 controller  Temp. Range: -70°C to +180°C. 
Inside dimensions: 40” L x 40” W x 45” H - 41.8 ft3. Window option in front 
door. Two 6” cable ports. Dual stage refrigeration compressors with air 
cooled condenser. R404A and R508B refrigerants. System is equipped with the 
humidity option. Humidity range: 10% to 98% RH  208V, 3 Ph, 60 Hz, 83.5A.</t>
  </si>
  <si>
    <t xml:space="preserve">101700</t>
  </si>
  <si>
    <t xml:space="preserve">Topcon</t>
  </si>
  <si>
    <t xml:space="preserve">TME 950P</t>
  </si>
  <si>
    <t xml:space="preserve">Automatic proximity aligner</t>
  </si>
  <si>
    <t xml:space="preserve">730 mm x 920 mm</t>
  </si>
  <si>
    <t xml:space="preserve">-Still Installed in the fab.
-Shutdown in the fab (The fab is switched off)
-The Topcon TME 950P is a fully automatic proximity aligner for mass 
production. It exposes the whole surface of a large substrate at once by 
the proximity method.
A high transfer printing accuracy is achieveable through the use of a 
newly-developed lighting optical system, a new flexure compensation 
mechanism and a high-precision thermo-regulation system.
Substrate transfer, alignment and exposure can be implemented in an optimal 
sequence. This equipment is designed with high productivity, high 
reliability, high throughput and 24 hour continuous operation in mind.
Major Specifications
Exposure Method: Proximity Alignment.
Resolution: 7 microns, lines and spaces
Max substrate size: 730 x 920 mm
Max mask size: 800 x 960 mm
Illumination: 365 nm, 23 mW cm2, 10kW ultra-high voltage Mercury lamp
Illumination non-uniformity: 3.0 % or less
Overlay accuracy: +/- 1.0 microns
Gap setting range: 70 to 300 um
Gap setting accuracy: +/- 5 um
Processing capacity: 20 sec per piece or shorter.
Mask setting: Automatic
Dimensions of the system main body:
Width: 4200 mm
Depth: 3500 mm
Height: 3300 mm
Weight of the system main body: 5000 kg</t>
  </si>
  <si>
    <t xml:space="preserve">91570</t>
  </si>
  <si>
    <t xml:space="preserve">Toray</t>
  </si>
  <si>
    <t xml:space="preserve">SP-500w</t>
  </si>
  <si>
    <t xml:space="preserve">Bump Height Measurement</t>
  </si>
  <si>
    <t xml:space="preserve">99433</t>
  </si>
  <si>
    <t xml:space="preserve">Towa</t>
  </si>
  <si>
    <t xml:space="preserve">CC-S</t>
  </si>
  <si>
    <t xml:space="preserve">Injection Molding Press</t>
  </si>
  <si>
    <t xml:space="preserve">Lead Frame Size - 15mm~75mm W x 175mm~260mm L Cycle Time - Min 70 sec 
(Machine Time 20 sec) Clamping Capacity - 5 ton ~ 30 ton Transfer Capacity 
- 0.3 ton ~ 2.4 ton Injection Speed - 0.10 mm/sec ~ 15 mm/sec (10 Speed 
Setting)</t>
  </si>
  <si>
    <t xml:space="preserve">55905</t>
  </si>
  <si>
    <t xml:space="preserve">TOWA</t>
  </si>
  <si>
    <t xml:space="preserve">Injection Molding Press, 2ea Available</t>
  </si>
  <si>
    <t xml:space="preserve">Towa
Model 	CC-S
Other Information 	
      * Serial Number CF9003
      * Lead Frame Size - 15mm~75mm W x 175mm~260mm L
      * Cycle Time - Min 70 sec (Machine Time 20 sec)
      * Clamping Capacity - 5 ton ~ 30 ton
      * Transfer Capacity - 0.3 ton ~ 2.4 ton
      * Injection Speed - 0.10 mm/sec ~ 15 mm/sec (10 Speed Setting)
Year of Manufacture 	2000</t>
  </si>
  <si>
    <t xml:space="preserve">96025</t>
  </si>
  <si>
    <t xml:space="preserve">Y-1</t>
  </si>
  <si>
    <t xml:space="preserve">AUTO MOLD SYSTEM</t>
  </si>
  <si>
    <t xml:space="preserve">96027</t>
  </si>
  <si>
    <t xml:space="preserve">97887</t>
  </si>
  <si>
    <t xml:space="preserve">TOYO</t>
  </si>
  <si>
    <t xml:space="preserve">SE-4000</t>
  </si>
  <si>
    <t xml:space="preserve">Roughness Measurement</t>
  </si>
  <si>
    <t xml:space="preserve">88142</t>
  </si>
  <si>
    <t xml:space="preserve">TRAZAR</t>
  </si>
  <si>
    <t xml:space="preserve">AMU10E-2</t>
  </si>
  <si>
    <t xml:space="preserve">88143</t>
  </si>
  <si>
    <t xml:space="preserve">AMU2-1</t>
  </si>
  <si>
    <t xml:space="preserve">88144</t>
  </si>
  <si>
    <t xml:space="preserve">88145</t>
  </si>
  <si>
    <t xml:space="preserve">NPM-2KEM</t>
  </si>
  <si>
    <t xml:space="preserve">88146</t>
  </si>
  <si>
    <t xml:space="preserve">SRN1-2</t>
  </si>
  <si>
    <t xml:space="preserve">88147</t>
  </si>
  <si>
    <t xml:space="preserve">SRN1-3</t>
  </si>
  <si>
    <t xml:space="preserve">88148</t>
  </si>
  <si>
    <t xml:space="preserve">SRN2</t>
  </si>
  <si>
    <t xml:space="preserve">101760</t>
  </si>
  <si>
    <t xml:space="preserve">TSE Systeme</t>
  </si>
  <si>
    <t xml:space="preserve">CBC200</t>
  </si>
  <si>
    <t xml:space="preserve">Cassette cleaner</t>
  </si>
  <si>
    <t xml:space="preserve">101689</t>
  </si>
  <si>
    <t xml:space="preserve">TSK</t>
  </si>
  <si>
    <t xml:space="preserve">UF200S </t>
  </si>
  <si>
    <t xml:space="preserve">101690</t>
  </si>
  <si>
    <t xml:space="preserve">UF200SA </t>
  </si>
  <si>
    <t xml:space="preserve">102456</t>
  </si>
  <si>
    <t xml:space="preserve">TSK / Accretech</t>
  </si>
  <si>
    <t xml:space="preserve">Win-Win 50 1600</t>
  </si>
  <si>
    <t xml:space="preserve">Bright Field Inspection</t>
  </si>
  <si>
    <t xml:space="preserve">102458</t>
  </si>
  <si>
    <t xml:space="preserve">102459</t>
  </si>
  <si>
    <t xml:space="preserve">102457</t>
  </si>
  <si>
    <t xml:space="preserve">87543</t>
  </si>
  <si>
    <t xml:space="preserve">ULTRA-T</t>
  </si>
  <si>
    <t xml:space="preserve">SWC111</t>
  </si>
  <si>
    <t xml:space="preserve">Sawed Wafer Cleaner for up to 200mm Wafers</t>
  </si>
  <si>
    <t xml:space="preserve">98440</t>
  </si>
  <si>
    <t xml:space="preserve">Ultratech</t>
  </si>
  <si>
    <t xml:space="preserve">1500</t>
  </si>
  <si>
    <t xml:space="preserve">Wafer Stepper</t>
  </si>
  <si>
    <t xml:space="preserve">103181</t>
  </si>
  <si>
    <t xml:space="preserve">Ultratech </t>
  </si>
  <si>
    <t xml:space="preserve">602 Plate</t>
  </si>
  <si>
    <t xml:space="preserve">Mask Cleaner </t>
  </si>
  <si>
    <t xml:space="preserve">DETAILS: Ultratech Model 602 Mask Cleaner consisting of: - Model: 602 Mask 
Cleaner - Up to 7" Mask Capability - High-pressure water jet for effective 
rinse - Uses non-abrasive, high-pressure jets - Spin module contains the 
spray head, chuck, control panel, final DI Water filter and operating 
mechanism - Missing high pressure pump CONDITION: System is being sold 
As-Is / Where-Is. System is missing high pressure pump</t>
  </si>
  <si>
    <t xml:space="preserve">100710</t>
  </si>
  <si>
    <t xml:space="preserve">Ultron Systems</t>
  </si>
  <si>
    <t xml:space="preserve">UH 110</t>
  </si>
  <si>
    <t xml:space="preserve">Backgrinding Film Remover</t>
  </si>
  <si>
    <t xml:space="preserve">103018</t>
  </si>
  <si>
    <t xml:space="preserve">Ulvac</t>
  </si>
  <si>
    <t xml:space="preserve">NE 7800</t>
  </si>
  <si>
    <t xml:space="preserve">Ferroelectric Etcher</t>
  </si>
  <si>
    <t xml:space="preserve">Number of Chambers: 4 Process Capabilities: Ta, FeRAM, RRAM, MRAM Chamber 1 
Description Preheat Chamber IR heater Range: 200 to 600 deg C Chamber 2 
Description: ISM ICP Etch ESD Chuck, 450C, He BS Cooling Bias power: 2000W, 
400 KHz Antenna power: 3000W, 13.56 MHZ UTM 1400FW/DIK Turbo Pump Ebara 
ESR20N Dry Pump Gases: Ar, O2, SF6, C4F8, HBr, CL2, BCl3, CHF3 Chamber 3 
Description: ISM ICP Etch ESD Chuck, He BS Cooling Bias power: 2000W, 400 
KHz Antenna power: 3000W, 13.56 MHZ UTM 1400FW/DIK Turbo Pump Ebara ESR20N 
Dry Pump Gases: Ar, O2, SF6, C4F8, HBr, CL2, BCl3, CHF3 Chamber 4 
Description: Microwave Ashing Chamber Heated Chuck, 280C Bias power: 600W, 
13.56 MHz Microwave power: 3000W, 2.45 GHz Endpoint detection Ebara 
ESR200WN Dry Pump Gases: 02, 02, H2/N2, CF4, N2</t>
  </si>
  <si>
    <t xml:space="preserve">101822</t>
  </si>
  <si>
    <t xml:space="preserve">SCV-3545R</t>
  </si>
  <si>
    <t xml:space="preserve">Inline Stepper</t>
  </si>
  <si>
    <r>
      <rPr>
        <sz val="8"/>
        <rFont val="Arial"/>
        <family val="0"/>
        <charset val="1"/>
      </rPr>
      <t xml:space="preserve">Sputter
ULVAC
Space Requirement
6.0×15.0m
Model
SCV-3545R
Substrate
420×530×0.5</t>
    </r>
    <r>
      <rPr>
        <sz val="8"/>
        <rFont val="Noto Sans CJK SC"/>
        <family val="2"/>
        <charset val="1"/>
      </rPr>
      <t xml:space="preserve">～</t>
    </r>
    <r>
      <rPr>
        <sz val="8"/>
        <rFont val="Arial"/>
        <family val="0"/>
        <charset val="1"/>
      </rPr>
      <t xml:space="preserve">1.1mm
</t>
    </r>
    <r>
      <rPr>
        <sz val="8"/>
        <rFont val="Noto Sans CJK SC"/>
        <family val="2"/>
        <charset val="1"/>
      </rPr>
      <t xml:space="preserve">　</t>
    </r>
    <r>
      <rPr>
        <sz val="8"/>
        <rFont val="Arial"/>
        <family val="0"/>
        <charset val="1"/>
      </rPr>
      <t xml:space="preserve">Sputter Chamber
Cathode
Power
Target
1
AC
</t>
    </r>
    <r>
      <rPr>
        <sz val="8"/>
        <rFont val="Noto Sans CJK SC"/>
        <family val="2"/>
        <charset val="1"/>
      </rPr>
      <t xml:space="preserve">（</t>
    </r>
    <r>
      <rPr>
        <sz val="8"/>
        <rFont val="Arial"/>
        <family val="0"/>
        <charset val="1"/>
      </rPr>
      <t xml:space="preserve">SiO2</t>
    </r>
    <r>
      <rPr>
        <sz val="8"/>
        <rFont val="Noto Sans CJK SC"/>
        <family val="2"/>
        <charset val="1"/>
      </rPr>
      <t xml:space="preserve">）
</t>
    </r>
    <r>
      <rPr>
        <sz val="8"/>
        <rFont val="Arial"/>
        <family val="0"/>
        <charset val="1"/>
      </rPr>
      <t xml:space="preserve">2
DC
Mo
3
DC
Al
4
DC
Al
5
DC
Al
6
DC
Mo
7
DC
</t>
    </r>
    <r>
      <rPr>
        <sz val="8"/>
        <rFont val="Noto Sans CJK SC"/>
        <family val="2"/>
        <charset val="1"/>
      </rPr>
      <t xml:space="preserve">（</t>
    </r>
    <r>
      <rPr>
        <sz val="8"/>
        <rFont val="Arial"/>
        <family val="0"/>
        <charset val="1"/>
      </rPr>
      <t xml:space="preserve">ITO</t>
    </r>
    <r>
      <rPr>
        <sz val="8"/>
        <rFont val="Noto Sans CJK SC"/>
        <family val="2"/>
        <charset val="1"/>
      </rPr>
      <t xml:space="preserve">）
</t>
    </r>
    <r>
      <rPr>
        <sz val="8"/>
        <rFont val="Arial"/>
        <family val="0"/>
        <charset val="1"/>
      </rPr>
      <t xml:space="preserve">8
DC
</t>
    </r>
    <r>
      <rPr>
        <sz val="8"/>
        <rFont val="Noto Sans CJK SC"/>
        <family val="2"/>
        <charset val="1"/>
      </rPr>
      <t xml:space="preserve">（</t>
    </r>
    <r>
      <rPr>
        <sz val="8"/>
        <rFont val="Arial"/>
        <family val="0"/>
        <charset val="1"/>
      </rPr>
      <t xml:space="preserve">ITO</t>
    </r>
    <r>
      <rPr>
        <sz val="8"/>
        <rFont val="Noto Sans CJK SC"/>
        <family val="2"/>
        <charset val="1"/>
      </rPr>
      <t xml:space="preserve">）
　</t>
    </r>
    <r>
      <rPr>
        <sz val="8"/>
        <rFont val="Arial"/>
        <family val="0"/>
        <charset val="1"/>
      </rPr>
      <t xml:space="preserve">Year
</t>
    </r>
    <r>
      <rPr>
        <sz val="8"/>
        <rFont val="Noto Sans CJK SC"/>
        <family val="2"/>
        <charset val="1"/>
      </rPr>
      <t xml:space="preserve">　</t>
    </r>
    <r>
      <rPr>
        <sz val="8"/>
        <rFont val="Arial"/>
        <family val="0"/>
        <charset val="1"/>
      </rPr>
      <t xml:space="preserve">2005
Tact Time
60sec/substrate</t>
    </r>
  </si>
  <si>
    <t xml:space="preserve">101707</t>
  </si>
  <si>
    <t xml:space="preserve">SMD-750B</t>
  </si>
  <si>
    <t xml:space="preserve">Flat Panel Display Sputtering System</t>
  </si>
  <si>
    <t xml:space="preserve">Production on this machine ended in December, 2019. This system is 
currently shut down in the fab. The equipment was in excellent, operational 
condition, before it was shut down .Inspection (Without power on) is 
available by appointment.
</t>
  </si>
  <si>
    <t xml:space="preserve">98048</t>
  </si>
  <si>
    <t xml:space="preserve">UNAXIS</t>
  </si>
  <si>
    <t xml:space="preserve">SLR-720</t>
  </si>
  <si>
    <t xml:space="preserve">RIE</t>
  </si>
  <si>
    <t xml:space="preserve">98049</t>
  </si>
  <si>
    <t xml:space="preserve">102642</t>
  </si>
  <si>
    <t xml:space="preserve">Unaxis/Balzers</t>
  </si>
  <si>
    <t xml:space="preserve">ZH620 Alumina Fill</t>
  </si>
  <si>
    <t xml:space="preserve">Fill Sputter Deposition System</t>
  </si>
  <si>
    <t xml:space="preserve">Main Features:
high rate cavity filling Al2O3 process, 2 targets, DC and RF, Onboard 
Cryogenic pump, backside cooling, 5“ wafer size.
Tool Status: installed and operational, immediately available.
Please check pictures below for more uinformation
Chuck XY Stage (Programmable)
Travel range 310 mm x 310 mm (12.2 x 12.2 in)
Resolution 0.5 µm
Accuracy ± 2.0 µm (0.08 mils)
Repeatability ± 1.0 µm
XY stage drive Closed-loop high precision stepper motors
Speed* Slowest: 10 μm / sec | Fastest: 50 mm / sec
Chuck Z Stage (Programmable)
Travel range 30 mm (1.18 in)
Resolution 0.2 µm
Accuracy ± 2.0 µm
Repeatability ± 1.0 µm
Z stage drive Closed-loop high precision stepper motor
Speed* Slowest: 10 μm / sec | Fastest: 50 mm / sec
Guider Precision ball bearings
Chuck Theta Stage (Programmable)
Travel range ± 5.0°
Resolution 0.0001° (0.24 μm @ 300mm edge)
Accuracy &lt; 2.0 µm (measured at the edge of the 300 mm chuck)
Repeatabilty &lt; 1.0 µm
Theta stage drive High resolution stepper motor with linear encoder 
feedback system
XYZ Stage (Programmable)
Travel range (X x Y x Z)* 50 mm x 50 mm x 140 mm
(2.0 in. x 2.0 in. x 5.5 in.)
Resolution, X-Y axis 1 µm (0.04 mils)
Repeatability, X-Y axis ≤ 2 µm (0.08mils)
Accuracy, X-Y axis ≤ 5 µm (0.2 mils)
Resolution, Z axis 0.05 µm (0.002 mils)
Repeatability, Z axis ≤ 2 µm (0.08mils)
Accuracy, Z axis ≤ 4 µm (0.016 mils)
PROBE PLATEN Specifications
Material Nickel plated steel
Chuck to platen height 50 ± 0.5 mm
Platen cooling Fully integrated CDA cooling, by using the chiller CDA
Configuration Probe card holder 4.5 x 7” and/or MicroPositioners
Max. No. of MicroPositioners 8x DC MicroPositioners or 4x DC + 4x RF 
MicroPositioner Setup
RF MicroPositioner mounting Magnetic with guided rail
DC MicroPositioner mounting Magnetic
 </t>
  </si>
  <si>
    <t xml:space="preserve">33773</t>
  </si>
  <si>
    <t xml:space="preserve">UNITEK MIYACHI</t>
  </si>
  <si>
    <t xml:space="preserve">1-124-05</t>
  </si>
  <si>
    <t xml:space="preserve">Parallel Gap Welder with 2-152-02 Weld Head &amp; 9-001-01 XFMR</t>
  </si>
  <si>
    <t xml:space="preserve">Parallel Gap Welder with 2-152-02 Weld Head &amp; 9-001-01 XFMR
     ·    Unitek Unibond Power Supply – Model 1-124-05;   
     ·    Unitek Light Force Weld Head – Model 2-152-02;   
     ·    Unipulse Welding Transformer – Model 9-001-01;   
     ·    Foot Pedal
     ·    115V      1.5A
</t>
  </si>
  <si>
    <t xml:space="preserve">102831</t>
  </si>
  <si>
    <t xml:space="preserve">Ushio</t>
  </si>
  <si>
    <t xml:space="preserve">UMA-2003</t>
  </si>
  <si>
    <t xml:space="preserve">UV Cure System</t>
  </si>
  <si>
    <t xml:space="preserve"> Installed - In Production Model: UMA-2003-H120FModel: 
UMA-2003-H120F-IM01Process: 6500-35 GATE RESIST CUREBasic System: 
UMA-2003-H120F UVC, Qty 1Wafer Size: Capable of processing 300mm +/- 0.05mm 
(SEMI M28), 775 +/- 25um, notched wafers, Qty 1Carrier: 2 FOUP, Qty 1(TDK 
TAS-300)Interface: 2 FOUP (Continuous flow operation). With Semi compliant 
MENV and FIMS assembliesCarrier ID: Bar code, Qty 2Communications Protocol: 
HSMS, Qty 1EMO: Display and Main Unit (including attached Mini-environment) 
have front and back EMO, LAMP POWERSUPPLY UNIT FRONT SIDE, Qty 4Interlocks: 
Power Supply Unit and Mini-environment have panel (cover) interlocks. Open 
lamp houseCable Lengths: 15 meter cables run between the main unit and the 
Lamp?Supply unit, Qty 1Signal Tower: Red/Yellow/Green, Qty 1CL plate: Hp on 
the CL plate(with vacuum), Qty 1Detection sensor(port1,port2): The FOUP up 
and down a transmission sensor Installation, Qty1LAMP POWER SUPPLY?UNIT: 
LAMP?POWER SUPPLY?UNITCHILLER?UNIT: Qty 1ROBOT?Controller?Unit: Qty 1Bulk 
Gas: CDA Peak Flow=280, Ave Flow=5.4, Static pressure0.5?0.6M??Bulk Gas: 
N2?FLOW10?50????n, Static pressure0.5?0.6MpaBulk Gas: 
Vacuum?-80???,Flow?40L/MinElectric: 200V�10V? 3PH 50/60Hz?175A? for 
ToolElectric: 200V�10V? 3PH 50/60Hz?33A? for Chiller UnitWater supply: 
Temperature?10?25? Flow? 6L/Min(over) Pressure?0.5?0.6Mpa for toolsWater 
supply: Temperature?25?(following), Flow?60L/Min(over), 
Pressure?.1Mpa(over)for Chiller unitExhaust: 6m3/minLamp 
cooling?20m3/minLamp power supply Exhaust?7m3/min Qty 3Missing/Damaged 
Parts ListNone</t>
  </si>
  <si>
    <t xml:space="preserve">103019</t>
  </si>
  <si>
    <t xml:space="preserve">Varian</t>
  </si>
  <si>
    <t xml:space="preserve">3190</t>
  </si>
  <si>
    <t xml:space="preserve">Single Wafer Vertical Sputter System</t>
  </si>
  <si>
    <t xml:space="preserve">101701</t>
  </si>
  <si>
    <t xml:space="preserve">VARIAN</t>
  </si>
  <si>
    <t xml:space="preserve">350D</t>
  </si>
  <si>
    <t xml:space="preserve">Medium Current Ion Implanter</t>
  </si>
  <si>
    <t xml:space="preserve">99404</t>
  </si>
  <si>
    <t xml:space="preserve">350D (Spares)</t>
  </si>
  <si>
    <t xml:space="preserve">Implanter (Spare Parts)</t>
  </si>
  <si>
    <t xml:space="preserve">-A selection of used spares parts for a Varian 350D implanter
Varian Exterion Parts (For Implanter)
Model
S/N
Description
Qty
A403/56
50268
Power Supply
1
A403/56
WC141G5
Power Supply
1
 HP 2323A
09787
Analyzer Magnet Current
1
EH4152-1
W—22482
Uniformity Monitor
1
Assy # 108588002
A055155
Dose Processor
1
Assy # 080047601 Rev.N
D-12002116 Rev. J
020065
Scan Monitor
1
Assy#F0746001 Rev. C
W-17550
High Voltage Stack(COIL)
Lot of PCBs
Lot of unique components (both mechanicals and Electrical)
Many Manuals ,Users manuals , Maintenance and Schematics and many other
 </t>
  </si>
  <si>
    <t xml:space="preserve">90168</t>
  </si>
  <si>
    <t xml:space="preserve">9290023</t>
  </si>
  <si>
    <t xml:space="preserve">pump controller</t>
  </si>
  <si>
    <t xml:space="preserve">55906</t>
  </si>
  <si>
    <t xml:space="preserve">936-70 SP</t>
  </si>
  <si>
    <t xml:space="preserve"> 
Model
936-70 SP
High Vacuum Pump Type
Turbomolecular Pump
Internal Calibrated Leak
Included
Built-In Roughing Pump
Included
Liquid Nitrogen Trap
Included
Other Information
    * PFEIFFER BALZER TPH240 Turbo Pump
    * PFEIFFER BALZER TCP120 Turbo Controller – 50/60 Hz
    * 2ea VARIAN SD-200 Rough Pumps
    * EDWARDS EMF20 Oil Mist Filter
    * PM 011 232-X Turbo Cable
    * Calibrated Helium Leak 5.5 X 10-8
    * 115V 1 Phase 60 Hz 2300 Watts
Power Requirements
115 V     60 Hz     1 Phase
 </t>
  </si>
  <si>
    <t xml:space="preserve">90169</t>
  </si>
  <si>
    <t xml:space="preserve">969-9507</t>
  </si>
  <si>
    <t xml:space="preserve">33812</t>
  </si>
  <si>
    <t xml:space="preserve">SD331</t>
  </si>
  <si>
    <t xml:space="preserve">Mechanical Vacuum Pump, 2ea Available</t>
  </si>
  <si>
    <t xml:space="preserve">90164</t>
  </si>
  <si>
    <t xml:space="preserve">TV551NAV</t>
  </si>
  <si>
    <t xml:space="preserve">90167</t>
  </si>
  <si>
    <t xml:space="preserve">TV81M</t>
  </si>
  <si>
    <t xml:space="preserve">90165</t>
  </si>
  <si>
    <t xml:space="preserve">V250</t>
  </si>
  <si>
    <t xml:space="preserve">90166</t>
  </si>
  <si>
    <t xml:space="preserve">V550</t>
  </si>
  <si>
    <t xml:space="preserve">90163</t>
  </si>
  <si>
    <t xml:space="preserve">V551</t>
  </si>
  <si>
    <t xml:space="preserve">102633</t>
  </si>
  <si>
    <t xml:space="preserve">Viista 80 HP</t>
  </si>
  <si>
    <t xml:space="preserve">High Current Ion Implanter</t>
  </si>
  <si>
    <t xml:space="preserve">Currently de-installed, and in the warehouse.
-Energy Range 200 eV - 80 keV
Please refer to the attached photos and here follows the system 
configuration.
Varian Semiconductor offers a full suite of single wafer ion implanters 
covering a wide range of doping and materials modification used in 
semiconductor applications. All applications use the VIISta Platform . The 
VIISta platform has enabled the transition from batch to single wafer 
systems, by providing precise angle control, low defectivity and particle 
control and high productivity. All VIISta single-wafer, single-platform 
products utilize a common single-wafer backbone with optimized beam lines 
for specific ion implantation applications.
     VIISta80HP Configuration
 Remarks
Vacuum system
Cryo Compressor
Y
 CTI-9600 * 2EA
Process Chamber Cryo
Y
 CTI-250F * 3EA
Load Lock pump
Y
 Pfeiffer_TMH 261 YPX *2EA
Source turbo Pump
     Y (Pump:STP-A2203C2)
 Controller-SCU1500
Beamline turbo pump
     Y (Pump:STP-A2203C2)
 Controller-SCU1500
Source Rough Pump
Y
 IGX100M
Endstation Rough Pump
Y
 IQDP80
Endstation Diff Pump
Y
 IQDP80
Endstation Info
Endstation
     UES
Wafer Size
     300mm
Buffer type
     Brooks buffer type
Air bearing
     Graphite type
 E19282790
Y tilt type
     Driven side encoder
Cassette platform
     300mm
Wafer mapping
     Thru beam type
Wafer walkout sensor
Y
Wafer orienter
N
 E11320430
Cassette sensor present
Y
Platen
N
 E11368067
Tilter head
     Roplat type
Profiler Assembly
     IN-VAC type
 E11313830
Light Curtain
Y
Load locks
     Standard load locks
PRI Robot
Y
 Left Robot Removed (E40001450)
Signal tower
Y
Scan harness
Y
Process Module Controller
Y
Transport Module Controller
Y
Source &amp; Beamline Info
Energy probe
Y
Gas Box
Y
 E11140710
Gas stick #1
     Gas 1
 E11116732
Gas stick #2
     Gas 2
 E11147261
Gas stick #3
     Gas 3
 E11147241
Gas stick #4
     Gas 4
 E11147251
Gas stick #5
     Gas 5
 E11116782
Gas stick #6
N
Vaporiser
N
Ion Source
Y
Filament PS
Y
Arc PS
Y
Bias PS
Y
 E19013050
Source Isolation Controller
Y
 E11106220
Source Magnet PS
Y
Extraction PS(Hi energy)
Y
Extraction PS(Low energy)
Y
Extraction Suppresion PS
Y
70 Degree Magnet PS
Y
 E19007880
90 Degree Magnet PS
Y
 E19007880
Decel 1 PS
Y
Decel 2 PS
Y
Decel 1 Suppression
Y
Decel 2 Suppression
N
 E11326011
Quad 2 PS
Y
 E19283050
70 &amp; 90 Rod controller
Y
Exhaust conductivity monitor
Y
General Info
Computers
Y
 E11130730
Smoke detector
     VESDA
Water leakage sensor
Y
CVCF PD
Y
 E19009490
Remote Rack
Y
Lead Floor
Y
Service monitor
Y
Chiller
N
Facilities &amp; Input power
     Bottom supply
Condition
Specification:-
-CE MARKED
-FITTED WITH FOUP PODS Cassette Interface:
o (4) FOUP
o Small WIP Buffer (Single wafer processing end station w/wafer Orient 
Control)
o (2) 25-Wafer Polished Loadlocks
• Energy Range: 200eV to 80keV
• IHC Ion Source
• Single Filament Bernas Ion Source
• Long Life PFG Filament
• Beam Energy Probe (for D1/D2 module control at 70/90° magnet regions)
• High Resolution 90° Analyzer Magnet
• 70° Magnet module
• Dual Plasma Xe Flood Gun
• 2D Profile Faraday
• Varian Positioning System (VPS): Recipe interlock incident angle control 
system
• Rotating Platen (X-Tilt capable from 0° to 60° +/-0.1° accuracy)
• Gas Cooled Electrostatic Platen
• Vertical Scanning
• Roplat Select Kit
• Facility Connections: Bottom Fed (air, water, power)
• Turbo Pumps/Cryogenics:
o (3) Helix/CTI 250F On-Board Cryo pumps
o Beamline: (1) Pfeiffer TMH2101
o Source: (1) Pfeiffer TMH2101
o End Station/LLKs: (2) Varian 300-HT
o (1) Varian Triscroll-300 Dry Pump
o (1) Diaphragm Rough Pump (air-bearing diff. seals stage 2)
o (1) Venturi Pump (air-bearing diff. seals stage 3)
o Remote Pump Kit: 15M Remote Pump Harness/Helium Lines Std Remote Pump 
Rack
• Gas Config:
o 1: Ar - HP (CGA 580, Praxair Specified)
o 2: BF3 - SDS (Unit MFC)
o 3: AsH3 - SDS (Praxair specified)
o 4: PH3 - SDS (Praxair specified)
o 5: SiF4 - HP (CGA 330)
o 6: CO2 - HP (CGA 320)
o 7: N2 - Maintenance Purge (Bulk ext feed)
o Affinity Chiller
• VIISTA Varian Control System (VCS):
o Operating System: Win NT/2000
o Auto-Recipe Set-up, Optimization, Control, Production Scheduling, WIP 
Tracking, etc... o HSMS SECS / GEM Interface
o 300mm SEMI Standards SW: includes E5, E30, E37, E37.1, E39, E40, E87, 
E90, E94
• Power Requirements: 208V (50kVA), 175A, 3-Phase, 5-Wire, Freq 50/60Hz
• Safety/Regulatory:
o S2-93A Compliant
o High Voltage Warning Displays (5 Locations)
o Source Exhaust Flow INTLK o Lead Floor Radiation Shield
o Hinged Enclosure Doors (interlocked)
o Status Lamp (RYGB, INCDST, CE certified)
o UPS – Control System &amp; Platen
o EMO Interlocked Vesda Smoke Detection
o Exhaust (Gas Box, Mech. pumps, Cryo pumps) designed for thru-the-roof 
connections
• Installed Options:
o Replaceable Source Liners
o Vaporizer &amp; Power Supply
o Ar External Purge Assembly (slot 1, UNIT MFC)
o Inert Process Gas Option for Slot 7
o Optional HP Gas Stick, Unit MFCs
o Stainless Steel UES Exhaust
o Thru-Beam Wafer Mapping
o SEMI E58 ARAMS Compliance
o SEMI E84 Compliance
o V80 Factory Automation Kit
o Wafer Viewing, Wafer ID (300mm backside OCR Semi M12 Reader)
o 4-Pole GFI Power Kit
o CE Marked Line Filter
o Reduced Brass Kit
o Teflon Toxic Exhaust Roughing Line
o Grounding Kit using Star Washers
o Customer supplied 50HZ Freq converters for CTI Cryos
 </t>
  </si>
  <si>
    <t xml:space="preserve">102460</t>
  </si>
  <si>
    <t xml:space="preserve">VIISta 80HP</t>
  </si>
  <si>
    <t xml:space="preserve">102832</t>
  </si>
  <si>
    <t xml:space="preserve">VIISta PLAD</t>
  </si>
  <si>
    <t xml:space="preserve">High Dose Implant</t>
  </si>
  <si>
    <t xml:space="preserve"> Installed - In Production IMPLANT LOW ENERGY</t>
  </si>
  <si>
    <t xml:space="preserve">102593</t>
  </si>
  <si>
    <t xml:space="preserve">Gate Valves</t>
  </si>
  <si>
    <t xml:space="preserve">Various Gate valves (MKS, Varian, Fuji Seiki)</t>
  </si>
  <si>
    <t xml:space="preserve">Different Gate Valves for Sale. 
Manufacturer
Model
Description
Quantity
MDC
Kav-100
Pneumatic Valve
2
Fuji Seiki
1100204
Industrial Pump Valve
4
Varian
L6280601
Aluminium Block Valve
2
Nupro/Swagelok
SS-4Bk-1C
Bellows Sealed Valves
7
 </t>
  </si>
  <si>
    <t xml:space="preserve">101676</t>
  </si>
  <si>
    <t xml:space="preserve">VAT</t>
  </si>
  <si>
    <t xml:space="preserve">12136-PA44-ACZ1/0286</t>
  </si>
  <si>
    <t xml:space="preserve">VACUUM GATE VALVE</t>
  </si>
  <si>
    <t xml:space="preserve">103182</t>
  </si>
  <si>
    <t xml:space="preserve">Veeco</t>
  </si>
  <si>
    <t xml:space="preserve">Dimension 3100</t>
  </si>
  <si>
    <t xml:space="preserve">DETAILS: Veeco Dimension 3100 Atomic Force Microscope (AFM) System 
consisting of: - Model: Dimension 3100S - 6"/150mm Vacuum Wafer Chuck - 
Stage with Enhanced Motorized Positioning and 125x100mm inspectable area - 
Nanoscope 3D Controller - Quadrex extender - System Computer - 2 Flat Panel 
Monitors (brand new) - Digital Instruments Keyboard and Mouse/Trackball - 
TMC Micro-G Isolation Table - Light Tight Enclosure - System Software - CE 
Marked - Operations Manuals and Documentation Note: Quadrex Extender adds 
the capability to bias the chuck and the tip at the same time. This allows 
for Surface Potential, also called KPFM measurements, as well as phase, MFM 
and EFM scanning. Optional Application Modules can be added; SCM, TUNA, 
SSRM C-AFM. CONDITION: Excellent Condition Guaranteed. Fully Refurbished to 
Factory Specifications. 6 Month Warranty and Full Specifications Guarantee. 
30 Day Right of Return.</t>
  </si>
  <si>
    <t xml:space="preserve">103136</t>
  </si>
  <si>
    <t xml:space="preserve">Dimension Vx340</t>
  </si>
  <si>
    <t xml:space="preserve">Atomic Force Profiler (AFP)  </t>
  </si>
  <si>
    <r>
      <rPr>
        <sz val="8"/>
        <rFont val="Arial"/>
        <family val="0"/>
        <charset val="1"/>
      </rPr>
      <t xml:space="preserve">Equipment configuration </t>
    </r>
    <r>
      <rPr>
        <sz val="8"/>
        <rFont val="Noto Sans CJK SC"/>
        <family val="2"/>
        <charset val="1"/>
      </rPr>
      <t xml:space="preserve">：</t>
    </r>
    <r>
      <rPr>
        <sz val="8"/>
        <rFont val="Arial"/>
        <family val="0"/>
        <charset val="1"/>
      </rPr>
      <t xml:space="preserve">ASYS S3 loadport*2 &amp; Inspection unit . Not in 
working condition.</t>
    </r>
  </si>
  <si>
    <t xml:space="preserve">102461</t>
  </si>
  <si>
    <t xml:space="preserve">Dimension X1D</t>
  </si>
  <si>
    <t xml:space="preserve">ATOMIC FORCE MICROSCOPE (AFM)</t>
  </si>
  <si>
    <t xml:space="preserve">102462</t>
  </si>
  <si>
    <t xml:space="preserve">Dimension X3D</t>
  </si>
  <si>
    <t xml:space="preserve">Atomic Force Microscope (AFM)</t>
  </si>
  <si>
    <t xml:space="preserve">102463</t>
  </si>
  <si>
    <t xml:space="preserve">56842</t>
  </si>
  <si>
    <t xml:space="preserve">VEECO</t>
  </si>
  <si>
    <t xml:space="preserve">MS-35T</t>
  </si>
  <si>
    <t xml:space="preserve">Turbopumped Leak Detector</t>
  </si>
  <si>
    <t xml:space="preserve">102464</t>
  </si>
  <si>
    <t xml:space="preserve">NT9800</t>
  </si>
  <si>
    <t xml:space="preserve">Optical Profiling System</t>
  </si>
  <si>
    <t xml:space="preserve">102465</t>
  </si>
  <si>
    <t xml:space="preserve">V220SI</t>
  </si>
  <si>
    <t xml:space="preserve">Surface Profile Measurement</t>
  </si>
  <si>
    <t xml:space="preserve">98863</t>
  </si>
  <si>
    <t xml:space="preserve">VCE IBE 350</t>
  </si>
  <si>
    <t xml:space="preserve">Ion Beam Etch System</t>
  </si>
  <si>
    <t xml:space="preserve">Fully refurbished by Veeco, installed and qualified, then powered down 
after processing only 200 wafers: no chemicals used, clean system, as new.
Deinstalled. Warehoused. Can be inspected by appointment.
Factory Refurbished Ion Beam Etch C-1 System Includes:
Process Module: Nexus® Ion Beam Etch Module (IBE350)
Polished stainless steel chamber including:
One (1) set of chamber liners and shields Two service access doors :
* (1) Source door
* (1) Access door Shu_ered viewport
Control System and SoOware:
New Pen(um based MS Windows control system w/ GUI interface
Tested Power supplies
Tested mo(on control
New Uninterruptable power supply backup for computer control system
Tested System u(lity panel for air, water, N2 and He control
Tested AC power distribu(on system
Tested Distributed I/O architecture
Process Module Vacuum System
Refurbished turbo molecular pump with VAT isola(on valve.
Calibrated MFC
One tested mechanical dry pump
Refurbished Ion Source
Refurbished RIM-350 Source Quartz New Grids
Refurbished PBN
Refurbished Substrate Fixture
Std. Flowcool fixture with clamp, rota(on (3-10 RPM), (lt and theta sweep 
Backside substrate cooling system
with Veeco patented FlowcoolTM technology
One set new fixture tooling for substrate handling with 150mm tooling
Tested water cooled chiller and by-pass kit
New Mechanical source shu_er
Refurbished Brooks 4 or 5 Sided Front End
Cluster type, 4 or 5-sided central wafer handler
One (1) Tested Vacuum Casse_e Elevator (shared rough pump) Wafer Handler 
vacuum system:
* One (1) turbo high vac pump
Integrated Op(cal Endpoint Detec(on System
IBE Spares Produc(vity Kit (Shields, Liners and Source Consumables plus 
Level 1 Cri(cal Spares)
Rapid Start Wafer Program
SUB-TOTAL: C1 IBE SYSTEM
Spare Standard IBE 350 Grid</t>
  </si>
  <si>
    <t xml:space="preserve">99388</t>
  </si>
  <si>
    <t xml:space="preserve">VERIGY</t>
  </si>
  <si>
    <t xml:space="preserve">V4000</t>
  </si>
  <si>
    <t xml:space="preserve">De-installed, warehoused.
The equipment can be inspected by appointment.
The current storage conditions of the equipment is shown in the attached 
photo.</t>
  </si>
  <si>
    <t xml:space="preserve">99389</t>
  </si>
  <si>
    <t xml:space="preserve">99390</t>
  </si>
  <si>
    <t xml:space="preserve">99391</t>
  </si>
  <si>
    <t xml:space="preserve">V6000</t>
  </si>
  <si>
    <t xml:space="preserve">102466</t>
  </si>
  <si>
    <t xml:space="preserve">Verigy</t>
  </si>
  <si>
    <t xml:space="preserve">V93000</t>
  </si>
  <si>
    <t xml:space="preserve">STH PS800  /  PS800*6(192ch=32*6) / Ps3600*1(32ch)  /  GP-DPS* 
4EA(16ch=4*4) / Manipulator / xw8400 WS / NOT INCLUDING MCB
Log file and diagnostic file available upon request.
Please check pictures below for more information.</t>
  </si>
  <si>
    <t xml:space="preserve">95431</t>
  </si>
  <si>
    <t xml:space="preserve">Verigy / Agilent</t>
  </si>
  <si>
    <t xml:space="preserve">HP4082F</t>
  </si>
  <si>
    <t xml:space="preserve">Flash Memory Cell Parametric Testing System</t>
  </si>
  <si>
    <t xml:space="preserve">Working condition. See attached photos for details.
Diagnostic Dump is attached in the images.
Was used with P8XL prober.
Configuration:
    Module name
Description
Configuraqtion
     Pinboard
  Used to contact with prober card, number is defined by prober card max
  pin Qty is 48
   24
Midium power SMU
10fA current measurement resolution, 2uV voltage measurement resolution, 
max Voltage 100V, max Current 100mA
2
   High power SMU1
     10fa measurement resolution, 2uv measurement resolution
max voltage 200v, max current 1000ma
1
Digital Voltage meter
    1uV voltage measurment resolution, used for 1ohm level resistant
    measurement
   3458A
     HV-SPGU
Pulse Generator,
N9158-60001
     PC
Workstation
   XW8400
    Power supply
HP E3632A
1
     THPS
Agilent
N9180-N61010</t>
  </si>
  <si>
    <t xml:space="preserve">103021</t>
  </si>
  <si>
    <t xml:space="preserve">Verteq</t>
  </si>
  <si>
    <t xml:space="preserve">IPA 2800</t>
  </si>
  <si>
    <t xml:space="preserve">IPA Vapor Dryer</t>
  </si>
  <si>
    <t xml:space="preserve">System will process two cassetts of wafers or devices up to 8" in diameter 
System sensors and safety features Automatic and manual operation IPA level 
sensor IPA Supply low Cooling water flow Cooling water temp. Exhaust air 
flow loss N2 pressure loss Air pressure loss DI water flow N2 flow loss IPA 
leak detector Purity limit IPA Fluid temp. Fire alarm (Ultra Violet) 
Extremely low emissions and alcohol comsumption System consists of a dryer 
module and a auxiliary module Water cooling chiller and vacuum pump not 
included. Exhaust Requirements: Vapor module: 100CFM@.25 static pressure 
(min) Auxiliary module: 100CFM@.25 static pressure (min) Exhaust blowers 
not included</t>
  </si>
  <si>
    <t xml:space="preserve">10135</t>
  </si>
  <si>
    <t xml:space="preserve">VISION ENGINEERING</t>
  </si>
  <si>
    <t xml:space="preserve">Dynascope</t>
  </si>
  <si>
    <t xml:space="preserve">Projection Micrsoscope</t>
  </si>
  <si>
    <t xml:space="preserve">90 day parts warranty</t>
  </si>
  <si>
    <t xml:space="preserve">98050</t>
  </si>
  <si>
    <t xml:space="preserve">Vision Semicon</t>
  </si>
  <si>
    <t xml:space="preserve">VSP-88A(H)</t>
  </si>
  <si>
    <t xml:space="preserve">98051</t>
  </si>
  <si>
    <t xml:space="preserve">VSP-88H</t>
  </si>
  <si>
    <t xml:space="preserve">98052</t>
  </si>
  <si>
    <t xml:space="preserve">100050</t>
  </si>
  <si>
    <t xml:space="preserve">VISION SEMICON</t>
  </si>
  <si>
    <t xml:space="preserve">VSP88H</t>
  </si>
  <si>
    <t xml:space="preserve">100051</t>
  </si>
  <si>
    <t xml:space="preserve">101761</t>
  </si>
  <si>
    <t xml:space="preserve">VSPO-2CM</t>
  </si>
  <si>
    <t xml:space="preserve">PMC Oven</t>
  </si>
  <si>
    <t xml:space="preserve">101836</t>
  </si>
  <si>
    <t xml:space="preserve">Vitronics Soltec</t>
  </si>
  <si>
    <t xml:space="preserve">mr933+</t>
  </si>
  <si>
    <t xml:space="preserve">reflow oven</t>
  </si>
  <si>
    <t xml:space="preserve">101837</t>
  </si>
  <si>
    <t xml:space="preserve">MR933+</t>
  </si>
  <si>
    <t xml:space="preserve">100711</t>
  </si>
  <si>
    <t xml:space="preserve">Voetsch</t>
  </si>
  <si>
    <t xml:space="preserve">VT 4002</t>
  </si>
  <si>
    <t xml:space="preserve">102833</t>
  </si>
  <si>
    <t xml:space="preserve">VON ARDENNE</t>
  </si>
  <si>
    <t xml:space="preserve">XEA NOVA</t>
  </si>
  <si>
    <t xml:space="preserve">Horizontal Sputtering System for Solar Panels</t>
  </si>
  <si>
    <t xml:space="preserve"> In Fab - Disconnected, Decontaminated, Not Deinstalled IN-LINE GLASS 
COATING SYSTEM Located in Clean roomI ncluding 12 Sputter sections &amp; 
towing, Transport Cabinet, Chiller &amp; Pump, Power System, ITO Clamps...etc 
XEAnova 5.5 WAFER COATING SYSTEM TECHNICAL DATASubject to change without 
notice due to technical improvement.GENERAL FEATURESThroughput ≤ 5500 
substrates/hour for M6 wafersSubstrates silicon wafers, metal plates, 
polymer films, othersSubstrate size all common formats: M2, M4, M6, M10 and 
M12Substrate thickness ≤ 3 mmCoating area on carrier ≈ (1 x 1.7) m2 , e.g. 
(6 x 9) for M6 wafersSPUTTERING SYSTEMMagnetron type single or dual 
rotatableSputter arrangement sputter up and sputter downDeposition type DC, 
pulsed DC, ACNumber of independent process unlimitedGases and media e.g. 
Ar, O2 , N2 , H2 O, XTarget utilization &gt; 80 %, depending on process &amp; 
materialOPTIONAL PROCESS FEATURESSubstrate heatingPre-treatment (e.g. Ion 
etching …)Alternative deposition technologies upon requestOPTIONAL 
FEATURESAutomated substrate loading &amp; unloadingAutomated carrier return 
systemControlled heating and cooling unit (CHU)Dry air supply (CDA)Carrier 
storage racksOthers on requestAUTOMATION OPTIONSConfiguration single- or 
double-endAutomation system fully automaticSubstrate feeding cassette, box, 
other </t>
  </si>
  <si>
    <t xml:space="preserve">102834</t>
  </si>
  <si>
    <t xml:space="preserve"> In Fab - Disconnected, Decontaminated, Not Deinstalled N-LINE GLASS 
COATING SYSTEMLocated in Clean roomIncluding 12 Sputter sections, Transport 
Cabinet, Pump, Power System XEAnova 5.5 WAFER COATING SYSTEM TECHNICAL 
DATASubject to change without notice due to technical improvement.GENERAL 
FEATURESThroughput ≤ 5500 substrates/hour for M6 wafersSubstrates silicon 
wafers, metal plates, polymer films, othersSubstrate size all common 
formats: M2, M4, M6, M10 and M12Substrate thickness ≤ 3 mmCoating area on 
carrier ≈ (1 x 1.7) m2 , e.g. (6 x 9) for M6 wafersSPUTTERING 
SYSTEMMagnetron type single or dual rotatableSputter arrangement sputter up 
and sputter downDeposition type DC, pulsed DC, ACNumber of independent 
process unlimitedGases and media e.g. Ar, O2 , N2 , H2 O, XTarget 
utilization &gt; 80 %, depending on process &amp; materialOPTIONAL PROCESS 
FEATURESSubstrate heatingPre-treatment (e.g. Ion etching …)Alternative 
deposition technologies upon requestOPTIONAL FEATURESAutomated substrate 
loading &amp; unloadingAutomated carrier return systemControlled heating and 
cooling unit (CHU)Dry air supply (CDA)Carrier storage racksOthers on 
requestAUTOMATION OPTIONSConfiguration single- or double-endAutomation 
system fully automaticSubstrate feeding cassette, box, other </t>
  </si>
  <si>
    <t xml:space="preserve">102835</t>
  </si>
  <si>
    <t xml:space="preserve"> In Fab - Disconnected, Decontaminated, Not Deinstalled IN-LINE GLASS 
COATING SYSTEMLocated in Clean roomIncluding 12 Sputter sections &amp; towing, 
Transport Cabinet, Chiller &amp; Pump, Power System, ITO Clamps...etc XEAnova 
5.5 WAFER COATING SYSTEM TECHNICAL DATASubject to change without notice due 
to technical improvement.GENERAL FEATURESThroughput ≤ 5500 substrates/hour 
for M6 wafersSubstrates silicon wafers, metal plates, polymer films, 
othersSubstrate size all common formats: M2, M4, M6, M10 and M12Substrate 
thickness ≤ 3 mmCoating area on carrier ≈ (1 x 1.7) m2 , e.g. (6 x 9) for 
M6 wafersSPUTTERING SYSTEMMagnetron type single or dual rotatableSputter 
arrangement sputter up and sputter downDeposition type DC, pulsed DC, 
ACNumber of independent process unlimitedGases and media e.g. Ar, O2 , N2 , 
H2 O, XTarget utilization &gt; 80 %, depending on process &amp; materialOPTIONAL 
PROCESS FEATURESSubstrate heatingPre-treatment (e.g. Ion etching 
…)Alternative deposition technologies upon requestOPTIONAL 
FEATURESAutomated substrate loading &amp; unloadingAutomated carrier return 
systemControlled heating and cooling unit (CHU)Dry air supply (CDA)Carrier 
storage racksOthers on requestAUTOMATION OPTIONSConfiguration single- or 
double-endAutomation system fully automaticSubstrate feeding cassette, box, 
other </t>
  </si>
  <si>
    <t xml:space="preserve">102836</t>
  </si>
  <si>
    <t xml:space="preserve"> In Fab - Disconnected, Decontaminated, Not Deinstalled IN-LINE GLASS 
COATING SYSTEMLocated in Clean roomIncluding 12 Sputter sections &amp; towing, 
Transport Cabinet, Chiller &amp; Pump, Power System, ITO Clamps...etc XEAnova 
5.5 WAFER COATING SYSTEM TECHNICAL DATASubject to change without notice due 
to technical improvement.GENERAL FEATURESThroughput ≤ 5500 substrates/hour 
for M6 wafersSubstrates silicon wafers, metal plates, polymer films, 
othersSubstrate size all common formats: M2, M4, M6, M10 and M12Substrate 
thickness ≤ 3 mmCoating area on carrier ≈ (1 x 1.7) m2 , e.g. (6 x 9) for 
M6 wafersSPUTTERING SYSTEMMagnetron type single or dual rotatableSputter 
arrangement sputter up and sputter downDeposition type DC, pulsed DC, 
ACNumber of independent process unlimitedGases and media e.g. Ar, O2 , N2 , 
H2 O, XTarget utilization &gt; 80 %, depending on process &amp; materialOPTIONAL 
PROCESS FEATURESSubstrate heatingPre-treatment (e.g. Ion etching 
…)Alternative deposition technologies upon requestOPTIONAL 
FEATURESAutomated substrate loading &amp; unloadingAutomated carrier return 
systemControlled heating and cooling unit (CHU)Dry air supply (CDA)Carrier 
storage racksOthers on requestAUTOMATION OPTIONSConfiguration single- or 
double-endAutomation system fully automaticSubstrate feeding cassette, box</t>
  </si>
  <si>
    <t xml:space="preserve">100712</t>
  </si>
  <si>
    <t xml:space="preserve">Weiss</t>
  </si>
  <si>
    <t xml:space="preserve">TS-130</t>
  </si>
  <si>
    <t xml:space="preserve">Temperature Shock Test Chamber</t>
  </si>
  <si>
    <t xml:space="preserve">Temperature Shock Chamber Weiss TS 130
2 Chamber System
Volume: 130 Liter
-80°C to +220°C
Temperature Area Hot Chamber: +60°C to +220°C
Temperature Cold Chamber: -80°C to -10°C
Vintage: 2012, very good condition, light use only
Manual in English included
Please check pictures below for more information</t>
  </si>
  <si>
    <t xml:space="preserve">103137</t>
  </si>
  <si>
    <t xml:space="preserve">Wentworth</t>
  </si>
  <si>
    <t xml:space="preserve">pegasus s300</t>
  </si>
  <si>
    <t xml:space="preserve">Wentworth Prober Pegasus 300s with anti-vibration table Pegasus 300s 300s 
EFA - The Pegasus S300 semi-automatic wafer probers offer an economical 
probing platform for rapid testing of full and partial wafers up to 300 mm. 
- FEATURESFast probing up to 100 mm/secTTL, Ethernet (10BaseT), RS232 and 
IEEE 488 optionalEasy integration of cameras and other external test 
equipmentRemote and integral keyboard for easy controlActive wafer 
profiling using Pegasus™ probesSemi-automatic two-point wafer alignment to 
reduce set-up timeAdditional axes available for auxiliary control of 
probing accessoriesMotorized platform for setting upper and lower safety 
limits for probe cards</t>
  </si>
  <si>
    <t xml:space="preserve">33628</t>
  </si>
  <si>
    <t xml:space="preserve">WENTWORTH LABS</t>
  </si>
  <si>
    <t xml:space="preserve">HOP "Hands Off Probe"</t>
  </si>
  <si>
    <t xml:space="preserve">Micropositioner, 2ea Available</t>
  </si>
  <si>
    <t xml:space="preserve">87482</t>
  </si>
  <si>
    <t xml:space="preserve">WEST-BOND</t>
  </si>
  <si>
    <t xml:space="preserve">7200A</t>
  </si>
  <si>
    <t xml:space="preserve">Manual Epoxy Die Bonder</t>
  </si>
  <si>
    <t xml:space="preserve">Excellent refurbished fully working condition, comes with Bausch &amp; Lomb 
StereoZoom 4 microscope.
Workholder can be supplied with tool at additional cost if required.</t>
  </si>
  <si>
    <t xml:space="preserve">103051</t>
  </si>
  <si>
    <t xml:space="preserve">WestBond</t>
  </si>
  <si>
    <t xml:space="preserve">7476E</t>
  </si>
  <si>
    <t xml:space="preserve">Wire Wedge Bonder</t>
  </si>
  <si>
    <t xml:space="preserve">The West Bond Model 7476E Wedge Wire Bonder is an advanced bench-top 
microprocessor controlled ultrasonic /thermosonic wedge–wedge wire bonder 
designed to manually interconnect wire leads to semiconductor, hybrid or 
microwave devices. The machine bonds aluminum or gold wire ranging from 0.7 
mil to 2 mil (1mil =0.001”~ 25µm) diameter. Bonds are made by wedge-wedge 
technique using ultrasonic energy to attach Al wire at room temperature or 
adding work piece heat for Au wire bonding. Wire is threaded and clamped 
diagonally using a 45 ° wire feed assembly to guide the wire under the 
bonding wedge allowing independent feeding action but requiring 
front-to-back bonding direction. The three-axis micromanipulator is arrayed 
above the work plane with range of motion of 0.562” vertically and 0.625” 
in the horizontal direction. UNLIMITED DEEP REACH access to remote bond 
targets on large packages with WEST·BOND’S new throatless chassis and 
micromanipulator designs. The forward pivot tool assembly is built around 
K-Sine transducer operated at 63KHz and 8Vrms maximum. Thirty separate 
buffers of bond setting and machine configurations are programmable at the 
machine front panel and are displayed by a 40 character LCD screen. 
115/230V, 50/60HzVERY NICE CONDITION!</t>
  </si>
  <si>
    <t xml:space="preserve">103052</t>
  </si>
  <si>
    <t xml:space="preserve">7700E</t>
  </si>
  <si>
    <t xml:space="preserve">Thermosonic Ball-Wedge Wire Bonder</t>
  </si>
  <si>
    <t xml:space="preserve">Bonds are made by the ball to wedge technique using ultrasonic energy and a 
heated work holder. Can be conﬁgured for gold wire ranging from .0007” to 
0.002”. Three axis micromanipulator.  Entire mechanism is arrayed above 
work plane so a larger size work piece can be accommodated. Includes 
optional heated work holder, microscope and radiant heat options.   115V , 
50/60Hz  "VERY NICE CONDITION" Hardly Used.</t>
  </si>
  <si>
    <t xml:space="preserve">93087</t>
  </si>
  <si>
    <t xml:space="preserve">Woollam</t>
  </si>
  <si>
    <t xml:space="preserve">101826</t>
  </si>
  <si>
    <t xml:space="preserve">XYZ Tec</t>
  </si>
  <si>
    <t xml:space="preserve">CONDOR SIGMA</t>
  </si>
  <si>
    <t xml:space="preserve">Wire Bond and Pull Tester</t>
  </si>
  <si>
    <t xml:space="preserve">97107</t>
  </si>
  <si>
    <t xml:space="preserve">XYZTEC</t>
  </si>
  <si>
    <t xml:space="preserve">Condor 250-3</t>
  </si>
  <si>
    <t xml:space="preserve">Material testing Machine for Example bending Test</t>
  </si>
  <si>
    <t xml:space="preserve">Basic unit with 2 manipulators (right and left on the photo) with PC, 
mouse, keyboard, software, 2 pcs. TFT monitors Network ready various 
component holders (for example Bending Test), various tools and extensive 
accessories (it lacks the camera that was on the device, the software and 
the connecting cables are available) Buy either camera or a microscope, 
which most devices have.</t>
  </si>
  <si>
    <t xml:space="preserve">98498</t>
  </si>
  <si>
    <t xml:space="preserve">Yaskawa</t>
  </si>
  <si>
    <t xml:space="preserve">XU RCM9206</t>
  </si>
  <si>
    <t xml:space="preserve">atmospheric wafer robot( KLA 2835i)</t>
  </si>
  <si>
    <t xml:space="preserve">98499</t>
  </si>
  <si>
    <t xml:space="preserve">XU RSM53E0</t>
  </si>
  <si>
    <t xml:space="preserve">atmospheric wafer robot( Ebara Frex 300 CMP)</t>
  </si>
  <si>
    <t xml:space="preserve">103020</t>
  </si>
  <si>
    <t xml:space="preserve">XU-RC350D-C03</t>
  </si>
  <si>
    <t xml:space="preserve">Dual Arm Clean Robot</t>
  </si>
  <si>
    <t xml:space="preserve">Motion Range: Theta-axis: 360 degree R1-axis: 550mm R2-axis: 550mm Z-axis: 
380mm Position Repeatability: +/- 0.05mm</t>
  </si>
  <si>
    <t xml:space="preserve">102563</t>
  </si>
  <si>
    <t xml:space="preserve">Yaskawa </t>
  </si>
  <si>
    <t xml:space="preserve">XU RC350D-C61</t>
  </si>
  <si>
    <t xml:space="preserve">atmospheric wafer robot( DNS SU-3000)</t>
  </si>
  <si>
    <t xml:space="preserve">102564</t>
  </si>
  <si>
    <t xml:space="preserve">XU RCM6841</t>
  </si>
  <si>
    <t xml:space="preserve">atmospheric wafer robot( AMAT Endura/Centura)</t>
  </si>
  <si>
    <t xml:space="preserve">102484</t>
  </si>
  <si>
    <t xml:space="preserve">YES</t>
  </si>
  <si>
    <t xml:space="preserve">58TA HMDS</t>
  </si>
  <si>
    <t xml:space="preserve">Vacuum Bake Vapor Prime Oven</t>
  </si>
  <si>
    <t xml:space="preserve">HMDS level sensor (PLC notifies operator via touchscreen) Kashiyama Vacuum 
Pump Primes 8 cassettes of 125mm or 150mm wafers or 12 cassettes of 100mm 
wafers.</t>
  </si>
  <si>
    <t xml:space="preserve">92462</t>
  </si>
  <si>
    <t xml:space="preserve">Yokogawa</t>
  </si>
  <si>
    <t xml:space="preserve">TS100</t>
  </si>
  <si>
    <t xml:space="preserve">92463</t>
  </si>
  <si>
    <t xml:space="preserve">TS1000</t>
  </si>
  <si>
    <t xml:space="preserve">92461</t>
  </si>
  <si>
    <t xml:space="preserve">TS670</t>
  </si>
  <si>
    <t xml:space="preserve">102577</t>
  </si>
  <si>
    <t xml:space="preserve">97108</t>
  </si>
  <si>
    <t xml:space="preserve">Zeiss</t>
  </si>
  <si>
    <t xml:space="preserve">Axiotech 100 HD</t>
  </si>
  <si>
    <t xml:space="preserve">with HF, DF, DIC and Table with measurement X und Z from Semprex Objective: 
5x, 10x, 20x, 50x, 100xOculare: 10xIllumination up to 1.000x</t>
  </si>
  <si>
    <t xml:space="preserve">91390</t>
  </si>
  <si>
    <t xml:space="preserve">AXIOTON </t>
  </si>
  <si>
    <t xml:space="preserve">High Perpomance MICRO SCOPE</t>
  </si>
  <si>
    <t xml:space="preserve">91388</t>
  </si>
  <si>
    <t xml:space="preserve">AXIOTRON</t>
  </si>
  <si>
    <t xml:space="preserve">INSPECTION MICROSCOPE</t>
  </si>
  <si>
    <t xml:space="preserve">91389</t>
  </si>
  <si>
    <t xml:space="preserve">95996</t>
  </si>
  <si>
    <t xml:space="preserve">ZEISS</t>
  </si>
  <si>
    <t xml:space="preserve">95997</t>
  </si>
  <si>
    <t xml:space="preserve">102057</t>
  </si>
  <si>
    <t xml:space="preserve">EVO 50 XVP</t>
  </si>
  <si>
    <t xml:space="preserve">Scanning electron microscope, variable pressure</t>
  </si>
  <si>
    <t xml:space="preserve">Filament: Tungsten
Acceleration voltage: 0.2 - 30 kV
Magnification: 7x - 300000x (Can be higher)
XVP Pressure range: 5 - 750 Pa with air
X-Ray analysis: 8.5 mm AWD and 35° take-off angle
Detectors:
NORAN EDX
SE in HV: Everhart-Thornley
SE in XVP: VPSE
BSD
Low vacuum SE and BSE
Opti beam modes:
Resolution
Depth
Analysis
Large field
5-Axes motorized specimen stage:
X: 80 mm
Y: 80 mm
Z: 35 mm
T: 0 - 90°
R: 360° Continuous
Image processing resolution: Up to 3072 x 2304 pixel
Rotary pump
Turbo pump
Operating system: Windows XP
Power supply: 100-240 V, Single phase, 50/60 Hz
2003 vintage.
Basic points:
•             Microscope is a complete set and ready to use. Each hardware 
component has inspected.
•             Set include manuals and spares (filaments etc).
Please check pictures below for more information.</t>
  </si>
</sst>
</file>

<file path=xl/styles.xml><?xml version="1.0" encoding="utf-8"?>
<styleSheet xmlns="http://schemas.openxmlformats.org/spreadsheetml/2006/main">
  <numFmts count="3">
    <numFmt numFmtId="164" formatCode="General"/>
    <numFmt numFmtId="165" formatCode="@"/>
    <numFmt numFmtId="166" formatCode="DD\.MM\.YYYY"/>
  </numFmts>
  <fonts count="7">
    <font>
      <sz val="10"/>
      <name val="Arial"/>
      <family val="2"/>
      <charset val="1"/>
    </font>
    <font>
      <sz val="10"/>
      <name val="Arial"/>
      <family val="0"/>
    </font>
    <font>
      <sz val="10"/>
      <name val="Arial"/>
      <family val="0"/>
    </font>
    <font>
      <sz val="10"/>
      <name val="Arial"/>
      <family val="0"/>
    </font>
    <font>
      <b val="true"/>
      <sz val="8"/>
      <name val="Arial"/>
      <family val="0"/>
      <charset val="1"/>
    </font>
    <font>
      <sz val="8"/>
      <name val="Arial"/>
      <family val="0"/>
      <charset val="1"/>
    </font>
    <font>
      <sz val="8"/>
      <name val="Noto Sans CJK SC"/>
      <family val="2"/>
      <charset val="1"/>
    </font>
  </fonts>
  <fills count="4">
    <fill>
      <patternFill patternType="none"/>
    </fill>
    <fill>
      <patternFill patternType="gray125"/>
    </fill>
    <fill>
      <patternFill patternType="solid">
        <fgColor rgb="FF969696"/>
        <bgColor rgb="FF808080"/>
      </patternFill>
    </fill>
    <fill>
      <patternFill patternType="solid">
        <fgColor rgb="FFC0C0C0"/>
        <bgColor rgb="FFCCCCFF"/>
      </patternFill>
    </fill>
  </fills>
  <borders count="2">
    <border diagonalUp="false" diagonalDown="false">
      <left/>
      <right/>
      <top/>
      <bottom/>
      <diagonal/>
    </border>
    <border diagonalUp="false" diagonalDown="false">
      <left/>
      <right/>
      <top/>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false" applyProtection="false">
      <alignment horizontal="general" vertical="bottom" textRotation="0" wrapText="false" indent="0" shrinkToFit="false"/>
      <protection locked="true" hidden="false"/>
    </xf>
    <xf numFmtId="165" fontId="5" fillId="3" borderId="0" xfId="0" applyFont="true" applyBorder="true" applyAlignment="false" applyProtection="false">
      <alignment horizontal="general" vertical="bottom" textRotation="0" wrapText="false" indent="0" shrinkToFit="false"/>
      <protection locked="true" hidden="false"/>
    </xf>
    <xf numFmtId="166" fontId="5" fillId="3" borderId="0" xfId="0" applyFont="true" applyBorder="true" applyAlignment="false" applyProtection="false">
      <alignment horizontal="general" vertical="bottom" textRotation="0" wrapText="false" indent="0" shrinkToFit="false"/>
      <protection locked="true" hidden="false"/>
    </xf>
    <xf numFmtId="165" fontId="5" fillId="3" borderId="0" xfId="0" applyFont="true" applyBorder="true" applyAlignment="true" applyProtection="false">
      <alignment horizontal="general" vertical="bottom" textRotation="0" wrapText="tru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1048576"/>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A2311" activeCellId="0" sqref="A2311"/>
    </sheetView>
  </sheetViews>
  <sheetFormatPr defaultRowHeight="13.35" zeroHeight="false" outlineLevelRow="0" outlineLevelCol="0"/>
  <cols>
    <col collapsed="false" customWidth="false" hidden="false" outlineLevel="0" max="1" min="1" style="0" width="11.52"/>
    <col collapsed="false" customWidth="true" hidden="false" outlineLevel="0" max="2" min="2" style="0" width="7.04"/>
    <col collapsed="false" customWidth="true" hidden="false" outlineLevel="0" max="3" min="3" style="0" width="13.29"/>
    <col collapsed="false" customWidth="true" hidden="false" outlineLevel="0" max="4" min="4" style="0" width="17.26"/>
    <col collapsed="false" customWidth="true" hidden="false" outlineLevel="0" max="5" min="5" style="0" width="35.53"/>
    <col collapsed="false" customWidth="true" hidden="false" outlineLevel="0" max="6" min="6" style="0" width="4.29"/>
    <col collapsed="false" customWidth="true" hidden="false" outlineLevel="0" max="7" min="7" style="0" width="8.93"/>
    <col collapsed="false" customWidth="true" hidden="false" outlineLevel="0" max="9" min="8" style="0" width="7.94"/>
    <col collapsed="false" customWidth="false" hidden="false" outlineLevel="0" max="10" min="10" style="0" width="11.52"/>
    <col collapsed="false" customWidth="true" hidden="false" outlineLevel="0" max="11" min="11" style="0" width="9.03"/>
    <col collapsed="false" customWidth="true" hidden="false" outlineLevel="0" max="12" min="12" style="0" width="45.25"/>
    <col collapsed="false" customWidth="false" hidden="false" outlineLevel="0" max="1025" min="13" style="0" width="11.52"/>
  </cols>
  <sheetData>
    <row r="1" customFormat="false" ht="13.35" hidden="false" customHeight="true" outlineLevel="0" collapsed="false">
      <c r="A1" s="1" t="s">
        <v>0</v>
      </c>
      <c r="B1" s="1" t="s">
        <v>1</v>
      </c>
      <c r="C1" s="1" t="s">
        <v>2</v>
      </c>
      <c r="D1" s="1" t="s">
        <v>3</v>
      </c>
      <c r="E1" s="1" t="s">
        <v>4</v>
      </c>
      <c r="F1" s="1" t="s">
        <v>5</v>
      </c>
      <c r="G1" s="1" t="s">
        <v>6</v>
      </c>
      <c r="H1" s="1" t="s">
        <v>7</v>
      </c>
      <c r="I1" s="1" t="s">
        <v>8</v>
      </c>
      <c r="J1" s="1" t="s">
        <v>9</v>
      </c>
      <c r="K1" s="1" t="s">
        <v>10</v>
      </c>
      <c r="L1" s="1" t="s">
        <v>11</v>
      </c>
    </row>
    <row r="2" customFormat="false" ht="13.35" hidden="false" customHeight="true" outlineLevel="0" collapsed="false">
      <c r="A2" s="2" t="str">
        <f aca="false">HYPERLINK("https://www.fabsurplus.com/sdi_catalog/salesItemDetails.do?id=102596")</f>
        <v>https://www.fabsurplus.com/sdi_catalog/salesItemDetails.do?id=102596</v>
      </c>
      <c r="B2" s="2" t="s">
        <v>12</v>
      </c>
      <c r="C2" s="2" t="s">
        <v>13</v>
      </c>
      <c r="D2" s="2" t="s">
        <v>14</v>
      </c>
      <c r="E2" s="2" t="s">
        <v>15</v>
      </c>
      <c r="F2" s="2" t="s">
        <v>16</v>
      </c>
      <c r="G2" s="2" t="s">
        <v>17</v>
      </c>
      <c r="H2" s="2" t="s">
        <v>18</v>
      </c>
      <c r="I2" s="3" t="n">
        <v>38869</v>
      </c>
      <c r="J2" s="2" t="s">
        <v>19</v>
      </c>
      <c r="K2" s="2" t="s">
        <v>20</v>
      </c>
      <c r="L2" s="4" t="s">
        <v>21</v>
      </c>
    </row>
    <row r="3" customFormat="false" ht="13.35" hidden="false" customHeight="true" outlineLevel="0" collapsed="false">
      <c r="A3" s="2" t="str">
        <f aca="false">HYPERLINK("https://www.fabsurplus.com/sdi_catalog/salesItemDetails.do?id=100996")</f>
        <v>https://www.fabsurplus.com/sdi_catalog/salesItemDetails.do?id=100996</v>
      </c>
      <c r="B3" s="2" t="s">
        <v>22</v>
      </c>
      <c r="C3" s="2" t="s">
        <v>23</v>
      </c>
      <c r="D3" s="2" t="s">
        <v>14</v>
      </c>
      <c r="E3" s="2" t="s">
        <v>24</v>
      </c>
      <c r="F3" s="2" t="s">
        <v>16</v>
      </c>
      <c r="G3" s="2" t="s">
        <v>25</v>
      </c>
      <c r="H3" s="2" t="s">
        <v>26</v>
      </c>
      <c r="I3" s="3" t="n">
        <v>41791</v>
      </c>
      <c r="J3" s="2" t="s">
        <v>19</v>
      </c>
      <c r="K3" s="2" t="s">
        <v>20</v>
      </c>
      <c r="L3" s="4" t="s">
        <v>27</v>
      </c>
    </row>
    <row r="4" customFormat="false" ht="13.35" hidden="false" customHeight="true" outlineLevel="0" collapsed="false">
      <c r="A4" s="5" t="str">
        <f aca="false">HYPERLINK("https://www.fabsurplus.com/sdi_catalog/salesItemDetails.do?id=101855")</f>
        <v>https://www.fabsurplus.com/sdi_catalog/salesItemDetails.do?id=101855</v>
      </c>
      <c r="B4" s="5" t="s">
        <v>28</v>
      </c>
      <c r="C4" s="5" t="s">
        <v>29</v>
      </c>
      <c r="D4" s="5" t="s">
        <v>14</v>
      </c>
      <c r="E4" s="5" t="s">
        <v>30</v>
      </c>
      <c r="F4" s="5" t="s">
        <v>16</v>
      </c>
      <c r="G4" s="5"/>
      <c r="H4" s="5"/>
      <c r="I4" s="6" t="n">
        <v>41791</v>
      </c>
      <c r="J4" s="5"/>
      <c r="K4" s="5"/>
      <c r="L4" s="7" t="s">
        <v>31</v>
      </c>
    </row>
    <row r="5" customFormat="false" ht="13.35" hidden="false" customHeight="true" outlineLevel="0" collapsed="false">
      <c r="A5" s="5" t="str">
        <f aca="false">HYPERLINK("https://www.fabsurplus.com/sdi_catalog/salesItemDetails.do?id=101332")</f>
        <v>https://www.fabsurplus.com/sdi_catalog/salesItemDetails.do?id=101332</v>
      </c>
      <c r="B5" s="5" t="s">
        <v>32</v>
      </c>
      <c r="C5" s="5" t="s">
        <v>33</v>
      </c>
      <c r="D5" s="5" t="s">
        <v>34</v>
      </c>
      <c r="E5" s="5" t="s">
        <v>15</v>
      </c>
      <c r="F5" s="5" t="s">
        <v>35</v>
      </c>
      <c r="G5" s="5" t="s">
        <v>36</v>
      </c>
      <c r="H5" s="5" t="s">
        <v>26</v>
      </c>
      <c r="I5" s="6" t="n">
        <v>37043</v>
      </c>
      <c r="J5" s="5" t="s">
        <v>19</v>
      </c>
      <c r="K5" s="5"/>
      <c r="L5" s="7" t="s">
        <v>37</v>
      </c>
    </row>
    <row r="6" customFormat="false" ht="13.35" hidden="false" customHeight="true" outlineLevel="0" collapsed="false">
      <c r="A6" s="5" t="str">
        <f aca="false">HYPERLINK("https://www.fabsurplus.com/sdi_catalog/salesItemDetails.do?id=102984")</f>
        <v>https://www.fabsurplus.com/sdi_catalog/salesItemDetails.do?id=102984</v>
      </c>
      <c r="B6" s="5" t="s">
        <v>38</v>
      </c>
      <c r="C6" s="5" t="s">
        <v>39</v>
      </c>
      <c r="D6" s="5" t="s">
        <v>40</v>
      </c>
      <c r="E6" s="5" t="s">
        <v>41</v>
      </c>
      <c r="F6" s="5" t="s">
        <v>16</v>
      </c>
      <c r="G6" s="5" t="s">
        <v>17</v>
      </c>
      <c r="H6" s="5"/>
      <c r="I6" s="6" t="n">
        <v>38504</v>
      </c>
      <c r="J6" s="5" t="s">
        <v>19</v>
      </c>
      <c r="K6" s="5"/>
      <c r="L6" s="5"/>
    </row>
    <row r="7" customFormat="false" ht="13.35" hidden="false" customHeight="true" outlineLevel="0" collapsed="false">
      <c r="A7" s="2" t="str">
        <f aca="false">HYPERLINK("https://www.fabsurplus.com/sdi_catalog/salesItemDetails.do?id=102985")</f>
        <v>https://www.fabsurplus.com/sdi_catalog/salesItemDetails.do?id=102985</v>
      </c>
      <c r="B7" s="2" t="s">
        <v>42</v>
      </c>
      <c r="C7" s="2" t="s">
        <v>39</v>
      </c>
      <c r="D7" s="2" t="s">
        <v>40</v>
      </c>
      <c r="E7" s="2" t="s">
        <v>41</v>
      </c>
      <c r="F7" s="2" t="s">
        <v>16</v>
      </c>
      <c r="G7" s="2" t="s">
        <v>17</v>
      </c>
      <c r="H7" s="2"/>
      <c r="I7" s="3" t="n">
        <v>38504</v>
      </c>
      <c r="J7" s="2" t="s">
        <v>19</v>
      </c>
      <c r="K7" s="2"/>
      <c r="L7" s="2"/>
    </row>
    <row r="8" customFormat="false" ht="13.35" hidden="false" customHeight="true" outlineLevel="0" collapsed="false">
      <c r="A8" s="2" t="str">
        <f aca="false">HYPERLINK("https://www.fabsurplus.com/sdi_catalog/salesItemDetails.do?id=92435")</f>
        <v>https://www.fabsurplus.com/sdi_catalog/salesItemDetails.do?id=92435</v>
      </c>
      <c r="B8" s="2" t="s">
        <v>43</v>
      </c>
      <c r="C8" s="2" t="s">
        <v>44</v>
      </c>
      <c r="D8" s="2" t="s">
        <v>45</v>
      </c>
      <c r="E8" s="2" t="s">
        <v>41</v>
      </c>
      <c r="F8" s="2" t="s">
        <v>46</v>
      </c>
      <c r="G8" s="2"/>
      <c r="H8" s="2"/>
      <c r="I8" s="2"/>
      <c r="J8" s="2" t="s">
        <v>47</v>
      </c>
      <c r="K8" s="2"/>
      <c r="L8" s="2" t="s">
        <v>48</v>
      </c>
    </row>
    <row r="9" customFormat="false" ht="13.35" hidden="false" customHeight="true" outlineLevel="0" collapsed="false">
      <c r="A9" s="5" t="str">
        <f aca="false">HYPERLINK("https://www.fabsurplus.com/sdi_catalog/salesItemDetails.do?id=102624")</f>
        <v>https://www.fabsurplus.com/sdi_catalog/salesItemDetails.do?id=102624</v>
      </c>
      <c r="B9" s="5" t="s">
        <v>49</v>
      </c>
      <c r="C9" s="5" t="s">
        <v>44</v>
      </c>
      <c r="D9" s="5" t="s">
        <v>50</v>
      </c>
      <c r="E9" s="5"/>
      <c r="F9" s="5" t="s">
        <v>51</v>
      </c>
      <c r="G9" s="5" t="s">
        <v>36</v>
      </c>
      <c r="H9" s="5" t="s">
        <v>26</v>
      </c>
      <c r="I9" s="5"/>
      <c r="J9" s="5" t="s">
        <v>47</v>
      </c>
      <c r="K9" s="5" t="s">
        <v>20</v>
      </c>
      <c r="L9" s="7" t="s">
        <v>52</v>
      </c>
    </row>
    <row r="10" customFormat="false" ht="13.35" hidden="false" customHeight="true" outlineLevel="0" collapsed="false">
      <c r="A10" s="2" t="str">
        <f aca="false">HYPERLINK("https://www.fabsurplus.com/sdi_catalog/salesItemDetails.do?id=86068")</f>
        <v>https://www.fabsurplus.com/sdi_catalog/salesItemDetails.do?id=86068</v>
      </c>
      <c r="B10" s="2" t="s">
        <v>53</v>
      </c>
      <c r="C10" s="2" t="s">
        <v>44</v>
      </c>
      <c r="D10" s="2" t="s">
        <v>54</v>
      </c>
      <c r="E10" s="2" t="s">
        <v>41</v>
      </c>
      <c r="F10" s="2" t="s">
        <v>16</v>
      </c>
      <c r="G10" s="2"/>
      <c r="H10" s="2" t="s">
        <v>18</v>
      </c>
      <c r="I10" s="2"/>
      <c r="J10" s="2" t="s">
        <v>47</v>
      </c>
      <c r="K10" s="2" t="s">
        <v>20</v>
      </c>
      <c r="L10" s="4" t="s">
        <v>55</v>
      </c>
    </row>
    <row r="11" customFormat="false" ht="13.35" hidden="false" customHeight="true" outlineLevel="0" collapsed="false">
      <c r="A11" s="5" t="str">
        <f aca="false">HYPERLINK("https://www.fabsurplus.com/sdi_catalog/salesItemDetails.do?id=92436")</f>
        <v>https://www.fabsurplus.com/sdi_catalog/salesItemDetails.do?id=92436</v>
      </c>
      <c r="B11" s="5" t="s">
        <v>56</v>
      </c>
      <c r="C11" s="5" t="s">
        <v>44</v>
      </c>
      <c r="D11" s="5" t="s">
        <v>57</v>
      </c>
      <c r="E11" s="5" t="s">
        <v>41</v>
      </c>
      <c r="F11" s="5" t="s">
        <v>58</v>
      </c>
      <c r="G11" s="5"/>
      <c r="H11" s="5"/>
      <c r="I11" s="5"/>
      <c r="J11" s="5" t="s">
        <v>47</v>
      </c>
      <c r="K11" s="5"/>
      <c r="L11" s="5" t="s">
        <v>48</v>
      </c>
    </row>
    <row r="12" customFormat="false" ht="13.35" hidden="false" customHeight="true" outlineLevel="0" collapsed="false">
      <c r="A12" s="5" t="str">
        <f aca="false">HYPERLINK("https://www.fabsurplus.com/sdi_catalog/salesItemDetails.do?id=96180")</f>
        <v>https://www.fabsurplus.com/sdi_catalog/salesItemDetails.do?id=96180</v>
      </c>
      <c r="B12" s="5" t="s">
        <v>59</v>
      </c>
      <c r="C12" s="5" t="s">
        <v>44</v>
      </c>
      <c r="D12" s="5" t="s">
        <v>60</v>
      </c>
      <c r="E12" s="5" t="s">
        <v>61</v>
      </c>
      <c r="F12" s="5" t="s">
        <v>58</v>
      </c>
      <c r="G12" s="5" t="s">
        <v>36</v>
      </c>
      <c r="H12" s="5" t="s">
        <v>18</v>
      </c>
      <c r="I12" s="5"/>
      <c r="J12" s="5" t="s">
        <v>19</v>
      </c>
      <c r="K12" s="5" t="s">
        <v>20</v>
      </c>
      <c r="L12" s="5"/>
    </row>
    <row r="13" customFormat="false" ht="13.35" hidden="false" customHeight="true" outlineLevel="0" collapsed="false">
      <c r="A13" s="2" t="str">
        <f aca="false">HYPERLINK("https://www.fabsurplus.com/sdi_catalog/salesItemDetails.do?id=102843")</f>
        <v>https://www.fabsurplus.com/sdi_catalog/salesItemDetails.do?id=102843</v>
      </c>
      <c r="B13" s="2" t="s">
        <v>62</v>
      </c>
      <c r="C13" s="2" t="s">
        <v>63</v>
      </c>
      <c r="D13" s="2" t="s">
        <v>64</v>
      </c>
      <c r="E13" s="2" t="s">
        <v>65</v>
      </c>
      <c r="F13" s="2" t="s">
        <v>16</v>
      </c>
      <c r="G13" s="2" t="s">
        <v>36</v>
      </c>
      <c r="H13" s="2"/>
      <c r="I13" s="2"/>
      <c r="J13" s="2" t="s">
        <v>19</v>
      </c>
      <c r="K13" s="2"/>
      <c r="L13" s="2" t="s">
        <v>65</v>
      </c>
    </row>
    <row r="14" customFormat="false" ht="13.35" hidden="false" customHeight="true" outlineLevel="0" collapsed="false">
      <c r="A14" s="5" t="str">
        <f aca="false">HYPERLINK("https://www.fabsurplus.com/sdi_catalog/salesItemDetails.do?id=102844")</f>
        <v>https://www.fabsurplus.com/sdi_catalog/salesItemDetails.do?id=102844</v>
      </c>
      <c r="B14" s="5" t="s">
        <v>66</v>
      </c>
      <c r="C14" s="5" t="s">
        <v>63</v>
      </c>
      <c r="D14" s="5" t="s">
        <v>64</v>
      </c>
      <c r="E14" s="5" t="s">
        <v>65</v>
      </c>
      <c r="F14" s="5" t="s">
        <v>16</v>
      </c>
      <c r="G14" s="5" t="s">
        <v>36</v>
      </c>
      <c r="H14" s="5"/>
      <c r="I14" s="5"/>
      <c r="J14" s="5" t="s">
        <v>19</v>
      </c>
      <c r="K14" s="5"/>
      <c r="L14" s="5" t="s">
        <v>65</v>
      </c>
    </row>
    <row r="15" customFormat="false" ht="13.35" hidden="false" customHeight="true" outlineLevel="0" collapsed="false">
      <c r="A15" s="2" t="str">
        <f aca="false">HYPERLINK("https://www.fabsurplus.com/sdi_catalog/salesItemDetails.do?id=102845")</f>
        <v>https://www.fabsurplus.com/sdi_catalog/salesItemDetails.do?id=102845</v>
      </c>
      <c r="B15" s="2" t="s">
        <v>67</v>
      </c>
      <c r="C15" s="2" t="s">
        <v>63</v>
      </c>
      <c r="D15" s="2" t="s">
        <v>64</v>
      </c>
      <c r="E15" s="2" t="s">
        <v>65</v>
      </c>
      <c r="F15" s="2" t="s">
        <v>16</v>
      </c>
      <c r="G15" s="2" t="s">
        <v>36</v>
      </c>
      <c r="H15" s="2"/>
      <c r="I15" s="2"/>
      <c r="J15" s="2" t="s">
        <v>19</v>
      </c>
      <c r="K15" s="2"/>
      <c r="L15" s="2" t="s">
        <v>65</v>
      </c>
    </row>
    <row r="16" customFormat="false" ht="13.35" hidden="false" customHeight="true" outlineLevel="0" collapsed="false">
      <c r="A16" s="5" t="str">
        <f aca="false">HYPERLINK("https://www.fabsurplus.com/sdi_catalog/salesItemDetails.do?id=102846")</f>
        <v>https://www.fabsurplus.com/sdi_catalog/salesItemDetails.do?id=102846</v>
      </c>
      <c r="B16" s="5" t="s">
        <v>68</v>
      </c>
      <c r="C16" s="5" t="s">
        <v>63</v>
      </c>
      <c r="D16" s="5" t="s">
        <v>64</v>
      </c>
      <c r="E16" s="5" t="s">
        <v>65</v>
      </c>
      <c r="F16" s="5" t="s">
        <v>16</v>
      </c>
      <c r="G16" s="5" t="s">
        <v>36</v>
      </c>
      <c r="H16" s="5"/>
      <c r="I16" s="5"/>
      <c r="J16" s="5" t="s">
        <v>19</v>
      </c>
      <c r="K16" s="5"/>
      <c r="L16" s="5" t="s">
        <v>65</v>
      </c>
    </row>
    <row r="17" customFormat="false" ht="13.35" hidden="false" customHeight="true" outlineLevel="0" collapsed="false">
      <c r="A17" s="2" t="str">
        <f aca="false">HYPERLINK("https://www.fabsurplus.com/sdi_catalog/salesItemDetails.do?id=102847")</f>
        <v>https://www.fabsurplus.com/sdi_catalog/salesItemDetails.do?id=102847</v>
      </c>
      <c r="B17" s="2" t="s">
        <v>69</v>
      </c>
      <c r="C17" s="2" t="s">
        <v>63</v>
      </c>
      <c r="D17" s="2" t="s">
        <v>64</v>
      </c>
      <c r="E17" s="2" t="s">
        <v>65</v>
      </c>
      <c r="F17" s="2" t="s">
        <v>16</v>
      </c>
      <c r="G17" s="2" t="s">
        <v>36</v>
      </c>
      <c r="H17" s="2"/>
      <c r="I17" s="2"/>
      <c r="J17" s="2" t="s">
        <v>19</v>
      </c>
      <c r="K17" s="2"/>
      <c r="L17" s="2" t="s">
        <v>65</v>
      </c>
    </row>
    <row r="18" customFormat="false" ht="13.35" hidden="false" customHeight="true" outlineLevel="0" collapsed="false">
      <c r="A18" s="5" t="str">
        <f aca="false">HYPERLINK("https://www.fabsurplus.com/sdi_catalog/salesItemDetails.do?id=102848")</f>
        <v>https://www.fabsurplus.com/sdi_catalog/salesItemDetails.do?id=102848</v>
      </c>
      <c r="B18" s="5" t="s">
        <v>70</v>
      </c>
      <c r="C18" s="5" t="s">
        <v>63</v>
      </c>
      <c r="D18" s="5" t="s">
        <v>64</v>
      </c>
      <c r="E18" s="5" t="s">
        <v>65</v>
      </c>
      <c r="F18" s="5" t="s">
        <v>16</v>
      </c>
      <c r="G18" s="5" t="s">
        <v>36</v>
      </c>
      <c r="H18" s="5"/>
      <c r="I18" s="5"/>
      <c r="J18" s="5" t="s">
        <v>19</v>
      </c>
      <c r="K18" s="5"/>
      <c r="L18" s="5" t="s">
        <v>65</v>
      </c>
    </row>
    <row r="19" customFormat="false" ht="13.35" hidden="false" customHeight="true" outlineLevel="0" collapsed="false">
      <c r="A19" s="2" t="str">
        <f aca="false">HYPERLINK("https://www.fabsurplus.com/sdi_catalog/salesItemDetails.do?id=102849")</f>
        <v>https://www.fabsurplus.com/sdi_catalog/salesItemDetails.do?id=102849</v>
      </c>
      <c r="B19" s="2" t="s">
        <v>71</v>
      </c>
      <c r="C19" s="2" t="s">
        <v>63</v>
      </c>
      <c r="D19" s="2" t="s">
        <v>64</v>
      </c>
      <c r="E19" s="2" t="s">
        <v>65</v>
      </c>
      <c r="F19" s="2" t="s">
        <v>16</v>
      </c>
      <c r="G19" s="2" t="s">
        <v>36</v>
      </c>
      <c r="H19" s="2"/>
      <c r="I19" s="2"/>
      <c r="J19" s="2" t="s">
        <v>19</v>
      </c>
      <c r="K19" s="2"/>
      <c r="L19" s="2" t="s">
        <v>65</v>
      </c>
    </row>
    <row r="20" customFormat="false" ht="13.35" hidden="false" customHeight="true" outlineLevel="0" collapsed="false">
      <c r="A20" s="5" t="str">
        <f aca="false">HYPERLINK("https://www.fabsurplus.com/sdi_catalog/salesItemDetails.do?id=102850")</f>
        <v>https://www.fabsurplus.com/sdi_catalog/salesItemDetails.do?id=102850</v>
      </c>
      <c r="B20" s="5" t="s">
        <v>72</v>
      </c>
      <c r="C20" s="5" t="s">
        <v>63</v>
      </c>
      <c r="D20" s="5" t="s">
        <v>64</v>
      </c>
      <c r="E20" s="5" t="s">
        <v>65</v>
      </c>
      <c r="F20" s="5" t="s">
        <v>16</v>
      </c>
      <c r="G20" s="5" t="s">
        <v>36</v>
      </c>
      <c r="H20" s="5"/>
      <c r="I20" s="5"/>
      <c r="J20" s="5" t="s">
        <v>19</v>
      </c>
      <c r="K20" s="5"/>
      <c r="L20" s="5" t="s">
        <v>65</v>
      </c>
    </row>
    <row r="21" customFormat="false" ht="13.35" hidden="false" customHeight="true" outlineLevel="0" collapsed="false">
      <c r="A21" s="2" t="str">
        <f aca="false">HYPERLINK("https://www.fabsurplus.com/sdi_catalog/salesItemDetails.do?id=102851")</f>
        <v>https://www.fabsurplus.com/sdi_catalog/salesItemDetails.do?id=102851</v>
      </c>
      <c r="B21" s="2" t="s">
        <v>73</v>
      </c>
      <c r="C21" s="2" t="s">
        <v>63</v>
      </c>
      <c r="D21" s="2" t="s">
        <v>64</v>
      </c>
      <c r="E21" s="2" t="s">
        <v>65</v>
      </c>
      <c r="F21" s="2" t="s">
        <v>16</v>
      </c>
      <c r="G21" s="2" t="s">
        <v>36</v>
      </c>
      <c r="H21" s="2"/>
      <c r="I21" s="2"/>
      <c r="J21" s="2" t="s">
        <v>19</v>
      </c>
      <c r="K21" s="2"/>
      <c r="L21" s="2" t="s">
        <v>65</v>
      </c>
    </row>
    <row r="22" customFormat="false" ht="13.35" hidden="false" customHeight="true" outlineLevel="0" collapsed="false">
      <c r="A22" s="5" t="str">
        <f aca="false">HYPERLINK("https://www.fabsurplus.com/sdi_catalog/salesItemDetails.do?id=102852")</f>
        <v>https://www.fabsurplus.com/sdi_catalog/salesItemDetails.do?id=102852</v>
      </c>
      <c r="B22" s="5" t="s">
        <v>74</v>
      </c>
      <c r="C22" s="5" t="s">
        <v>63</v>
      </c>
      <c r="D22" s="5" t="s">
        <v>64</v>
      </c>
      <c r="E22" s="5" t="s">
        <v>65</v>
      </c>
      <c r="F22" s="5" t="s">
        <v>16</v>
      </c>
      <c r="G22" s="5" t="s">
        <v>36</v>
      </c>
      <c r="H22" s="5"/>
      <c r="I22" s="5"/>
      <c r="J22" s="5" t="s">
        <v>19</v>
      </c>
      <c r="K22" s="5"/>
      <c r="L22" s="5" t="s">
        <v>65</v>
      </c>
    </row>
    <row r="23" customFormat="false" ht="13.35" hidden="false" customHeight="true" outlineLevel="0" collapsed="false">
      <c r="A23" s="2" t="str">
        <f aca="false">HYPERLINK("https://www.fabsurplus.com/sdi_catalog/salesItemDetails.do?id=102853")</f>
        <v>https://www.fabsurplus.com/sdi_catalog/salesItemDetails.do?id=102853</v>
      </c>
      <c r="B23" s="2" t="s">
        <v>75</v>
      </c>
      <c r="C23" s="2" t="s">
        <v>63</v>
      </c>
      <c r="D23" s="2" t="s">
        <v>64</v>
      </c>
      <c r="E23" s="2" t="s">
        <v>65</v>
      </c>
      <c r="F23" s="2" t="s">
        <v>16</v>
      </c>
      <c r="G23" s="2" t="s">
        <v>36</v>
      </c>
      <c r="H23" s="2"/>
      <c r="I23" s="2"/>
      <c r="J23" s="2" t="s">
        <v>19</v>
      </c>
      <c r="K23" s="2"/>
      <c r="L23" s="2" t="s">
        <v>65</v>
      </c>
    </row>
    <row r="24" customFormat="false" ht="13.35" hidden="false" customHeight="true" outlineLevel="0" collapsed="false">
      <c r="A24" s="5" t="str">
        <f aca="false">HYPERLINK("https://www.fabsurplus.com/sdi_catalog/salesItemDetails.do?id=102854")</f>
        <v>https://www.fabsurplus.com/sdi_catalog/salesItemDetails.do?id=102854</v>
      </c>
      <c r="B24" s="5" t="s">
        <v>76</v>
      </c>
      <c r="C24" s="5" t="s">
        <v>63</v>
      </c>
      <c r="D24" s="5" t="s">
        <v>64</v>
      </c>
      <c r="E24" s="5" t="s">
        <v>65</v>
      </c>
      <c r="F24" s="5" t="s">
        <v>16</v>
      </c>
      <c r="G24" s="5" t="s">
        <v>36</v>
      </c>
      <c r="H24" s="5"/>
      <c r="I24" s="5"/>
      <c r="J24" s="5" t="s">
        <v>19</v>
      </c>
      <c r="K24" s="5"/>
      <c r="L24" s="5" t="s">
        <v>65</v>
      </c>
    </row>
    <row r="25" customFormat="false" ht="13.35" hidden="false" customHeight="true" outlineLevel="0" collapsed="false">
      <c r="A25" s="5" t="str">
        <f aca="false">HYPERLINK("https://www.fabsurplus.com/sdi_catalog/salesItemDetails.do?id=102656")</f>
        <v>https://www.fabsurplus.com/sdi_catalog/salesItemDetails.do?id=102656</v>
      </c>
      <c r="B25" s="5" t="s">
        <v>77</v>
      </c>
      <c r="C25" s="5" t="s">
        <v>78</v>
      </c>
      <c r="D25" s="5" t="s">
        <v>40</v>
      </c>
      <c r="E25" s="5" t="s">
        <v>79</v>
      </c>
      <c r="F25" s="5" t="s">
        <v>16</v>
      </c>
      <c r="G25" s="5" t="s">
        <v>17</v>
      </c>
      <c r="H25" s="5"/>
      <c r="I25" s="5"/>
      <c r="J25" s="5" t="s">
        <v>19</v>
      </c>
      <c r="K25" s="5"/>
      <c r="L25" s="5" t="s">
        <v>80</v>
      </c>
    </row>
    <row r="26" customFormat="false" ht="13.35" hidden="false" customHeight="true" outlineLevel="0" collapsed="false">
      <c r="A26" s="5" t="str">
        <f aca="false">HYPERLINK("https://www.fabsurplus.com/sdi_catalog/salesItemDetails.do?id=102507")</f>
        <v>https://www.fabsurplus.com/sdi_catalog/salesItemDetails.do?id=102507</v>
      </c>
      <c r="B26" s="5" t="s">
        <v>81</v>
      </c>
      <c r="C26" s="5" t="s">
        <v>78</v>
      </c>
      <c r="D26" s="5" t="s">
        <v>82</v>
      </c>
      <c r="E26" s="5" t="s">
        <v>83</v>
      </c>
      <c r="F26" s="5" t="s">
        <v>16</v>
      </c>
      <c r="G26" s="5"/>
      <c r="H26" s="5"/>
      <c r="I26" s="5"/>
      <c r="J26" s="5" t="s">
        <v>47</v>
      </c>
      <c r="K26" s="5"/>
      <c r="L26" s="5"/>
    </row>
    <row r="27" customFormat="false" ht="13.35" hidden="false" customHeight="true" outlineLevel="0" collapsed="false">
      <c r="A27" s="5" t="str">
        <f aca="false">HYPERLINK("https://www.fabsurplus.com/sdi_catalog/salesItemDetails.do?id=87932")</f>
        <v>https://www.fabsurplus.com/sdi_catalog/salesItemDetails.do?id=87932</v>
      </c>
      <c r="B27" s="5" t="s">
        <v>84</v>
      </c>
      <c r="C27" s="5" t="s">
        <v>85</v>
      </c>
      <c r="D27" s="5" t="s">
        <v>86</v>
      </c>
      <c r="E27" s="5" t="s">
        <v>87</v>
      </c>
      <c r="F27" s="5" t="s">
        <v>58</v>
      </c>
      <c r="G27" s="5" t="s">
        <v>88</v>
      </c>
      <c r="H27" s="5"/>
      <c r="I27" s="5"/>
      <c r="J27" s="5" t="s">
        <v>19</v>
      </c>
      <c r="K27" s="5"/>
      <c r="L27" s="5" t="s">
        <v>89</v>
      </c>
    </row>
    <row r="28" customFormat="false" ht="13.35" hidden="false" customHeight="true" outlineLevel="0" collapsed="false">
      <c r="A28" s="2" t="str">
        <f aca="false">HYPERLINK("https://www.fabsurplus.com/sdi_catalog/salesItemDetails.do?id=87934")</f>
        <v>https://www.fabsurplus.com/sdi_catalog/salesItemDetails.do?id=87934</v>
      </c>
      <c r="B28" s="2" t="s">
        <v>90</v>
      </c>
      <c r="C28" s="2" t="s">
        <v>85</v>
      </c>
      <c r="D28" s="2" t="s">
        <v>91</v>
      </c>
      <c r="E28" s="2" t="s">
        <v>87</v>
      </c>
      <c r="F28" s="2" t="s">
        <v>16</v>
      </c>
      <c r="G28" s="2" t="s">
        <v>88</v>
      </c>
      <c r="H28" s="2"/>
      <c r="I28" s="2"/>
      <c r="J28" s="2" t="s">
        <v>19</v>
      </c>
      <c r="K28" s="2"/>
      <c r="L28" s="2" t="s">
        <v>89</v>
      </c>
    </row>
    <row r="29" customFormat="false" ht="13.35" hidden="false" customHeight="true" outlineLevel="0" collapsed="false">
      <c r="A29" s="5" t="str">
        <f aca="false">HYPERLINK("https://www.fabsurplus.com/sdi_catalog/salesItemDetails.do?id=102631")</f>
        <v>https://www.fabsurplus.com/sdi_catalog/salesItemDetails.do?id=102631</v>
      </c>
      <c r="B29" s="5" t="s">
        <v>92</v>
      </c>
      <c r="C29" s="5" t="s">
        <v>93</v>
      </c>
      <c r="D29" s="5" t="s">
        <v>94</v>
      </c>
      <c r="E29" s="5" t="s">
        <v>95</v>
      </c>
      <c r="F29" s="5" t="s">
        <v>16</v>
      </c>
      <c r="G29" s="5" t="s">
        <v>36</v>
      </c>
      <c r="H29" s="5" t="s">
        <v>96</v>
      </c>
      <c r="I29" s="5"/>
      <c r="J29" s="5" t="s">
        <v>47</v>
      </c>
      <c r="K29" s="5"/>
      <c r="L29" s="7" t="s">
        <v>97</v>
      </c>
    </row>
    <row r="30" customFormat="false" ht="13.35" hidden="false" customHeight="true" outlineLevel="0" collapsed="false">
      <c r="A30" s="2" t="str">
        <f aca="false">HYPERLINK("https://www.fabsurplus.com/sdi_catalog/salesItemDetails.do?id=102632")</f>
        <v>https://www.fabsurplus.com/sdi_catalog/salesItemDetails.do?id=102632</v>
      </c>
      <c r="B30" s="2" t="s">
        <v>98</v>
      </c>
      <c r="C30" s="2" t="s">
        <v>93</v>
      </c>
      <c r="D30" s="2" t="s">
        <v>94</v>
      </c>
      <c r="E30" s="2" t="s">
        <v>99</v>
      </c>
      <c r="F30" s="2" t="s">
        <v>16</v>
      </c>
      <c r="G30" s="2" t="s">
        <v>36</v>
      </c>
      <c r="H30" s="2" t="s">
        <v>96</v>
      </c>
      <c r="I30" s="2"/>
      <c r="J30" s="2" t="s">
        <v>47</v>
      </c>
      <c r="K30" s="2"/>
      <c r="L30" s="4" t="s">
        <v>100</v>
      </c>
    </row>
    <row r="31" customFormat="false" ht="13.35" hidden="false" customHeight="true" outlineLevel="0" collapsed="false">
      <c r="A31" s="5" t="str">
        <f aca="false">HYPERLINK("https://www.fabsurplus.com/sdi_catalog/salesItemDetails.do?id=102061")</f>
        <v>https://www.fabsurplus.com/sdi_catalog/salesItemDetails.do?id=102061</v>
      </c>
      <c r="B31" s="5" t="s">
        <v>101</v>
      </c>
      <c r="C31" s="5" t="s">
        <v>93</v>
      </c>
      <c r="D31" s="5" t="s">
        <v>102</v>
      </c>
      <c r="E31" s="5" t="s">
        <v>103</v>
      </c>
      <c r="F31" s="5" t="s">
        <v>16</v>
      </c>
      <c r="G31" s="5" t="s">
        <v>36</v>
      </c>
      <c r="H31" s="5"/>
      <c r="I31" s="5"/>
      <c r="J31" s="5" t="s">
        <v>19</v>
      </c>
      <c r="K31" s="5"/>
      <c r="L31" s="5"/>
    </row>
    <row r="32" customFormat="false" ht="13.35" hidden="false" customHeight="true" outlineLevel="0" collapsed="false">
      <c r="A32" s="2" t="str">
        <f aca="false">HYPERLINK("https://www.fabsurplus.com/sdi_catalog/salesItemDetails.do?id=91841")</f>
        <v>https://www.fabsurplus.com/sdi_catalog/salesItemDetails.do?id=91841</v>
      </c>
      <c r="B32" s="2" t="s">
        <v>104</v>
      </c>
      <c r="C32" s="2" t="s">
        <v>93</v>
      </c>
      <c r="D32" s="2" t="s">
        <v>105</v>
      </c>
      <c r="E32" s="2" t="s">
        <v>106</v>
      </c>
      <c r="F32" s="2" t="s">
        <v>16</v>
      </c>
      <c r="G32" s="2" t="s">
        <v>107</v>
      </c>
      <c r="H32" s="2" t="s">
        <v>26</v>
      </c>
      <c r="I32" s="2"/>
      <c r="J32" s="2" t="s">
        <v>47</v>
      </c>
      <c r="K32" s="2" t="s">
        <v>20</v>
      </c>
      <c r="L32" s="4" t="s">
        <v>108</v>
      </c>
    </row>
    <row r="33" customFormat="false" ht="13.35" hidden="false" customHeight="true" outlineLevel="0" collapsed="false">
      <c r="A33" s="5" t="str">
        <f aca="false">HYPERLINK("https://www.fabsurplus.com/sdi_catalog/salesItemDetails.do?id=92686")</f>
        <v>https://www.fabsurplus.com/sdi_catalog/salesItemDetails.do?id=92686</v>
      </c>
      <c r="B33" s="5" t="s">
        <v>109</v>
      </c>
      <c r="C33" s="5" t="s">
        <v>93</v>
      </c>
      <c r="D33" s="5" t="s">
        <v>110</v>
      </c>
      <c r="E33" s="5" t="s">
        <v>111</v>
      </c>
      <c r="F33" s="5" t="s">
        <v>16</v>
      </c>
      <c r="G33" s="5" t="s">
        <v>17</v>
      </c>
      <c r="H33" s="5"/>
      <c r="I33" s="5"/>
      <c r="J33" s="5" t="s">
        <v>19</v>
      </c>
      <c r="K33" s="5"/>
      <c r="L33" s="5" t="s">
        <v>112</v>
      </c>
    </row>
    <row r="34" customFormat="false" ht="13.35" hidden="false" customHeight="true" outlineLevel="0" collapsed="false">
      <c r="A34" s="2" t="str">
        <f aca="false">HYPERLINK("https://www.fabsurplus.com/sdi_catalog/salesItemDetails.do?id=97846")</f>
        <v>https://www.fabsurplus.com/sdi_catalog/salesItemDetails.do?id=97846</v>
      </c>
      <c r="B34" s="2" t="s">
        <v>113</v>
      </c>
      <c r="C34" s="2" t="s">
        <v>93</v>
      </c>
      <c r="D34" s="2" t="s">
        <v>114</v>
      </c>
      <c r="E34" s="2" t="s">
        <v>115</v>
      </c>
      <c r="F34" s="2" t="s">
        <v>16</v>
      </c>
      <c r="G34" s="2" t="s">
        <v>17</v>
      </c>
      <c r="H34" s="2"/>
      <c r="I34" s="3" t="n">
        <v>37043</v>
      </c>
      <c r="J34" s="2" t="s">
        <v>19</v>
      </c>
      <c r="K34" s="2"/>
      <c r="L34" s="2"/>
    </row>
    <row r="35" customFormat="false" ht="13.35" hidden="false" customHeight="true" outlineLevel="0" collapsed="false">
      <c r="A35" s="5" t="str">
        <f aca="false">HYPERLINK("https://www.fabsurplus.com/sdi_catalog/salesItemDetails.do?id=87912")</f>
        <v>https://www.fabsurplus.com/sdi_catalog/salesItemDetails.do?id=87912</v>
      </c>
      <c r="B35" s="5" t="s">
        <v>116</v>
      </c>
      <c r="C35" s="5" t="s">
        <v>117</v>
      </c>
      <c r="D35" s="5" t="s">
        <v>118</v>
      </c>
      <c r="E35" s="5" t="s">
        <v>119</v>
      </c>
      <c r="F35" s="5" t="s">
        <v>120</v>
      </c>
      <c r="G35" s="5" t="s">
        <v>121</v>
      </c>
      <c r="H35" s="5" t="s">
        <v>18</v>
      </c>
      <c r="I35" s="5"/>
      <c r="J35" s="5" t="s">
        <v>19</v>
      </c>
      <c r="K35" s="5" t="s">
        <v>20</v>
      </c>
      <c r="L35" s="7" t="s">
        <v>122</v>
      </c>
    </row>
    <row r="36" customFormat="false" ht="13.35" hidden="false" customHeight="true" outlineLevel="0" collapsed="false">
      <c r="A36" s="2" t="str">
        <f aca="false">HYPERLINK("https://www.fabsurplus.com/sdi_catalog/salesItemDetails.do?id=87917")</f>
        <v>https://www.fabsurplus.com/sdi_catalog/salesItemDetails.do?id=87917</v>
      </c>
      <c r="B36" s="2" t="s">
        <v>123</v>
      </c>
      <c r="C36" s="2" t="s">
        <v>117</v>
      </c>
      <c r="D36" s="2" t="s">
        <v>124</v>
      </c>
      <c r="E36" s="2" t="s">
        <v>119</v>
      </c>
      <c r="F36" s="2" t="s">
        <v>125</v>
      </c>
      <c r="G36" s="2" t="s">
        <v>121</v>
      </c>
      <c r="H36" s="2" t="s">
        <v>18</v>
      </c>
      <c r="I36" s="2"/>
      <c r="J36" s="2" t="s">
        <v>19</v>
      </c>
      <c r="K36" s="2" t="s">
        <v>20</v>
      </c>
      <c r="L36" s="4" t="s">
        <v>122</v>
      </c>
    </row>
    <row r="37" customFormat="false" ht="13.35" hidden="false" customHeight="true" outlineLevel="0" collapsed="false">
      <c r="A37" s="5" t="str">
        <f aca="false">HYPERLINK("https://www.fabsurplus.com/sdi_catalog/salesItemDetails.do?id=87918")</f>
        <v>https://www.fabsurplus.com/sdi_catalog/salesItemDetails.do?id=87918</v>
      </c>
      <c r="B37" s="5" t="s">
        <v>126</v>
      </c>
      <c r="C37" s="5" t="s">
        <v>117</v>
      </c>
      <c r="D37" s="5" t="s">
        <v>127</v>
      </c>
      <c r="E37" s="5" t="s">
        <v>119</v>
      </c>
      <c r="F37" s="5" t="s">
        <v>128</v>
      </c>
      <c r="G37" s="5" t="s">
        <v>121</v>
      </c>
      <c r="H37" s="5" t="s">
        <v>18</v>
      </c>
      <c r="I37" s="5"/>
      <c r="J37" s="5" t="s">
        <v>19</v>
      </c>
      <c r="K37" s="5" t="s">
        <v>20</v>
      </c>
      <c r="L37" s="7" t="s">
        <v>122</v>
      </c>
    </row>
    <row r="38" customFormat="false" ht="13.35" hidden="false" customHeight="true" outlineLevel="0" collapsed="false">
      <c r="A38" s="2" t="str">
        <f aca="false">HYPERLINK("https://www.fabsurplus.com/sdi_catalog/salesItemDetails.do?id=87919")</f>
        <v>https://www.fabsurplus.com/sdi_catalog/salesItemDetails.do?id=87919</v>
      </c>
      <c r="B38" s="2" t="s">
        <v>129</v>
      </c>
      <c r="C38" s="2" t="s">
        <v>117</v>
      </c>
      <c r="D38" s="2" t="s">
        <v>130</v>
      </c>
      <c r="E38" s="2" t="s">
        <v>119</v>
      </c>
      <c r="F38" s="2" t="s">
        <v>51</v>
      </c>
      <c r="G38" s="2" t="s">
        <v>121</v>
      </c>
      <c r="H38" s="2" t="s">
        <v>18</v>
      </c>
      <c r="I38" s="2"/>
      <c r="J38" s="2" t="s">
        <v>19</v>
      </c>
      <c r="K38" s="2" t="s">
        <v>20</v>
      </c>
      <c r="L38" s="4" t="s">
        <v>122</v>
      </c>
    </row>
    <row r="39" customFormat="false" ht="13.35" hidden="false" customHeight="true" outlineLevel="0" collapsed="false">
      <c r="A39" s="5" t="str">
        <f aca="false">HYPERLINK("https://www.fabsurplus.com/sdi_catalog/salesItemDetails.do?id=87920")</f>
        <v>https://www.fabsurplus.com/sdi_catalog/salesItemDetails.do?id=87920</v>
      </c>
      <c r="B39" s="5" t="s">
        <v>131</v>
      </c>
      <c r="C39" s="5" t="s">
        <v>117</v>
      </c>
      <c r="D39" s="5" t="s">
        <v>132</v>
      </c>
      <c r="E39" s="5" t="s">
        <v>119</v>
      </c>
      <c r="F39" s="5" t="s">
        <v>16</v>
      </c>
      <c r="G39" s="5" t="s">
        <v>121</v>
      </c>
      <c r="H39" s="5" t="s">
        <v>18</v>
      </c>
      <c r="I39" s="5"/>
      <c r="J39" s="5" t="s">
        <v>19</v>
      </c>
      <c r="K39" s="5" t="s">
        <v>20</v>
      </c>
      <c r="L39" s="7" t="s">
        <v>122</v>
      </c>
    </row>
    <row r="40" customFormat="false" ht="13.35" hidden="false" customHeight="true" outlineLevel="0" collapsed="false">
      <c r="A40" s="2" t="str">
        <f aca="false">HYPERLINK("https://www.fabsurplus.com/sdi_catalog/salesItemDetails.do?id=102501")</f>
        <v>https://www.fabsurplus.com/sdi_catalog/salesItemDetails.do?id=102501</v>
      </c>
      <c r="B40" s="2" t="s">
        <v>133</v>
      </c>
      <c r="C40" s="2" t="s">
        <v>134</v>
      </c>
      <c r="D40" s="2" t="s">
        <v>135</v>
      </c>
      <c r="E40" s="2" t="s">
        <v>136</v>
      </c>
      <c r="F40" s="2" t="s">
        <v>137</v>
      </c>
      <c r="G40" s="2" t="s">
        <v>138</v>
      </c>
      <c r="H40" s="2" t="s">
        <v>26</v>
      </c>
      <c r="I40" s="2"/>
      <c r="J40" s="2" t="s">
        <v>19</v>
      </c>
      <c r="K40" s="2" t="s">
        <v>20</v>
      </c>
      <c r="L40" s="4" t="s">
        <v>139</v>
      </c>
    </row>
    <row r="41" customFormat="false" ht="13.35" hidden="false" customHeight="true" outlineLevel="0" collapsed="false">
      <c r="A41" s="2" t="str">
        <f aca="false">HYPERLINK("https://www.fabsurplus.com/sdi_catalog/salesItemDetails.do?id=100343")</f>
        <v>https://www.fabsurplus.com/sdi_catalog/salesItemDetails.do?id=100343</v>
      </c>
      <c r="B41" s="2" t="s">
        <v>140</v>
      </c>
      <c r="C41" s="2" t="s">
        <v>141</v>
      </c>
      <c r="D41" s="2" t="s">
        <v>142</v>
      </c>
      <c r="E41" s="2" t="s">
        <v>143</v>
      </c>
      <c r="F41" s="2" t="s">
        <v>16</v>
      </c>
      <c r="G41" s="2" t="s">
        <v>88</v>
      </c>
      <c r="H41" s="2" t="s">
        <v>26</v>
      </c>
      <c r="I41" s="3" t="n">
        <v>35217</v>
      </c>
      <c r="J41" s="2" t="s">
        <v>19</v>
      </c>
      <c r="K41" s="2" t="s">
        <v>20</v>
      </c>
      <c r="L41" s="4" t="s">
        <v>144</v>
      </c>
    </row>
    <row r="42" customFormat="false" ht="13.35" hidden="false" customHeight="true" outlineLevel="0" collapsed="false">
      <c r="A42" s="2" t="str">
        <f aca="false">HYPERLINK("https://www.fabsurplus.com/sdi_catalog/salesItemDetails.do?id=87553")</f>
        <v>https://www.fabsurplus.com/sdi_catalog/salesItemDetails.do?id=87553</v>
      </c>
      <c r="B42" s="2" t="s">
        <v>145</v>
      </c>
      <c r="C42" s="2" t="s">
        <v>146</v>
      </c>
      <c r="D42" s="2" t="s">
        <v>147</v>
      </c>
      <c r="E42" s="2" t="s">
        <v>148</v>
      </c>
      <c r="F42" s="2" t="s">
        <v>16</v>
      </c>
      <c r="G42" s="2" t="s">
        <v>149</v>
      </c>
      <c r="H42" s="2" t="s">
        <v>18</v>
      </c>
      <c r="I42" s="2"/>
      <c r="J42" s="2" t="s">
        <v>19</v>
      </c>
      <c r="K42" s="2" t="s">
        <v>20</v>
      </c>
      <c r="L42" s="4" t="s">
        <v>150</v>
      </c>
    </row>
    <row r="43" customFormat="false" ht="13.35" hidden="false" customHeight="true" outlineLevel="0" collapsed="false">
      <c r="A43" s="2" t="str">
        <f aca="false">HYPERLINK("https://www.fabsurplus.com/sdi_catalog/salesItemDetails.do?id=103022")</f>
        <v>https://www.fabsurplus.com/sdi_catalog/salesItemDetails.do?id=103022</v>
      </c>
      <c r="B43" s="2" t="s">
        <v>151</v>
      </c>
      <c r="C43" s="2" t="s">
        <v>152</v>
      </c>
      <c r="D43" s="2" t="s">
        <v>153</v>
      </c>
      <c r="E43" s="2" t="s">
        <v>87</v>
      </c>
      <c r="F43" s="2" t="s">
        <v>16</v>
      </c>
      <c r="G43" s="2" t="s">
        <v>154</v>
      </c>
      <c r="H43" s="2"/>
      <c r="I43" s="2"/>
      <c r="J43" s="2" t="s">
        <v>19</v>
      </c>
      <c r="K43" s="2"/>
      <c r="L43" s="4" t="s">
        <v>155</v>
      </c>
    </row>
    <row r="44" customFormat="false" ht="13.35" hidden="false" customHeight="true" outlineLevel="0" collapsed="false">
      <c r="A44" s="2" t="str">
        <f aca="false">HYPERLINK("https://www.fabsurplus.com/sdi_catalog/salesItemDetails.do?id=101860")</f>
        <v>https://www.fabsurplus.com/sdi_catalog/salesItemDetails.do?id=101860</v>
      </c>
      <c r="B44" s="2" t="s">
        <v>156</v>
      </c>
      <c r="C44" s="2" t="s">
        <v>157</v>
      </c>
      <c r="D44" s="2" t="s">
        <v>158</v>
      </c>
      <c r="E44" s="2" t="s">
        <v>159</v>
      </c>
      <c r="F44" s="2" t="s">
        <v>16</v>
      </c>
      <c r="G44" s="2" t="s">
        <v>160</v>
      </c>
      <c r="H44" s="2"/>
      <c r="I44" s="3" t="n">
        <v>42522</v>
      </c>
      <c r="J44" s="2" t="s">
        <v>19</v>
      </c>
      <c r="K44" s="2"/>
      <c r="L44" s="2" t="s">
        <v>161</v>
      </c>
    </row>
    <row r="45" customFormat="false" ht="13.35" hidden="false" customHeight="true" outlineLevel="0" collapsed="false">
      <c r="A45" s="5" t="str">
        <f aca="false">HYPERLINK("https://www.fabsurplus.com/sdi_catalog/salesItemDetails.do?id=102062")</f>
        <v>https://www.fabsurplus.com/sdi_catalog/salesItemDetails.do?id=102062</v>
      </c>
      <c r="B45" s="5" t="s">
        <v>162</v>
      </c>
      <c r="C45" s="5" t="s">
        <v>163</v>
      </c>
      <c r="D45" s="5" t="s">
        <v>164</v>
      </c>
      <c r="E45" s="5" t="s">
        <v>165</v>
      </c>
      <c r="F45" s="5" t="s">
        <v>16</v>
      </c>
      <c r="G45" s="5"/>
      <c r="H45" s="5"/>
      <c r="I45" s="6" t="n">
        <v>36678</v>
      </c>
      <c r="J45" s="5" t="s">
        <v>19</v>
      </c>
      <c r="K45" s="5"/>
      <c r="L45" s="5"/>
    </row>
    <row r="46" customFormat="false" ht="13.35" hidden="false" customHeight="true" outlineLevel="0" collapsed="false">
      <c r="A46" s="2" t="str">
        <f aca="false">HYPERLINK("https://www.fabsurplus.com/sdi_catalog/salesItemDetails.do?id=102063")</f>
        <v>https://www.fabsurplus.com/sdi_catalog/salesItemDetails.do?id=102063</v>
      </c>
      <c r="B46" s="2" t="s">
        <v>166</v>
      </c>
      <c r="C46" s="2" t="s">
        <v>163</v>
      </c>
      <c r="D46" s="2" t="s">
        <v>164</v>
      </c>
      <c r="E46" s="2" t="s">
        <v>165</v>
      </c>
      <c r="F46" s="2" t="s">
        <v>16</v>
      </c>
      <c r="G46" s="2"/>
      <c r="H46" s="2"/>
      <c r="I46" s="3" t="n">
        <v>36678</v>
      </c>
      <c r="J46" s="2" t="s">
        <v>19</v>
      </c>
      <c r="K46" s="2"/>
      <c r="L46" s="2"/>
    </row>
    <row r="47" customFormat="false" ht="13.35" hidden="false" customHeight="true" outlineLevel="0" collapsed="false">
      <c r="A47" s="5" t="str">
        <f aca="false">HYPERLINK("https://www.fabsurplus.com/sdi_catalog/salesItemDetails.do?id=102064")</f>
        <v>https://www.fabsurplus.com/sdi_catalog/salesItemDetails.do?id=102064</v>
      </c>
      <c r="B47" s="5" t="s">
        <v>167</v>
      </c>
      <c r="C47" s="5" t="s">
        <v>163</v>
      </c>
      <c r="D47" s="5" t="s">
        <v>164</v>
      </c>
      <c r="E47" s="5" t="s">
        <v>165</v>
      </c>
      <c r="F47" s="5" t="s">
        <v>16</v>
      </c>
      <c r="G47" s="5"/>
      <c r="H47" s="5"/>
      <c r="I47" s="6" t="n">
        <v>36678</v>
      </c>
      <c r="J47" s="5" t="s">
        <v>19</v>
      </c>
      <c r="K47" s="5"/>
      <c r="L47" s="5"/>
    </row>
    <row r="48" customFormat="false" ht="13.35" hidden="false" customHeight="true" outlineLevel="0" collapsed="false">
      <c r="A48" s="2" t="str">
        <f aca="false">HYPERLINK("https://www.fabsurplus.com/sdi_catalog/salesItemDetails.do?id=102065")</f>
        <v>https://www.fabsurplus.com/sdi_catalog/salesItemDetails.do?id=102065</v>
      </c>
      <c r="B48" s="2" t="s">
        <v>168</v>
      </c>
      <c r="C48" s="2" t="s">
        <v>163</v>
      </c>
      <c r="D48" s="2" t="s">
        <v>164</v>
      </c>
      <c r="E48" s="2" t="s">
        <v>169</v>
      </c>
      <c r="F48" s="2" t="s">
        <v>16</v>
      </c>
      <c r="G48" s="2"/>
      <c r="H48" s="2"/>
      <c r="I48" s="3" t="n">
        <v>36678</v>
      </c>
      <c r="J48" s="2" t="s">
        <v>19</v>
      </c>
      <c r="K48" s="2"/>
      <c r="L48" s="2"/>
    </row>
    <row r="49" customFormat="false" ht="13.35" hidden="false" customHeight="true" outlineLevel="0" collapsed="false">
      <c r="A49" s="5" t="str">
        <f aca="false">HYPERLINK("https://www.fabsurplus.com/sdi_catalog/salesItemDetails.do?id=102066")</f>
        <v>https://www.fabsurplus.com/sdi_catalog/salesItemDetails.do?id=102066</v>
      </c>
      <c r="B49" s="5" t="s">
        <v>170</v>
      </c>
      <c r="C49" s="5" t="s">
        <v>163</v>
      </c>
      <c r="D49" s="5" t="s">
        <v>164</v>
      </c>
      <c r="E49" s="5" t="s">
        <v>169</v>
      </c>
      <c r="F49" s="5" t="s">
        <v>16</v>
      </c>
      <c r="G49" s="5"/>
      <c r="H49" s="5"/>
      <c r="I49" s="5"/>
      <c r="J49" s="5" t="s">
        <v>19</v>
      </c>
      <c r="K49" s="5"/>
      <c r="L49" s="5"/>
    </row>
    <row r="50" customFormat="false" ht="13.35" hidden="false" customHeight="true" outlineLevel="0" collapsed="false">
      <c r="A50" s="2" t="str">
        <f aca="false">HYPERLINK("https://www.fabsurplus.com/sdi_catalog/salesItemDetails.do?id=102067")</f>
        <v>https://www.fabsurplus.com/sdi_catalog/salesItemDetails.do?id=102067</v>
      </c>
      <c r="B50" s="2" t="s">
        <v>171</v>
      </c>
      <c r="C50" s="2" t="s">
        <v>163</v>
      </c>
      <c r="D50" s="2" t="s">
        <v>164</v>
      </c>
      <c r="E50" s="2" t="s">
        <v>169</v>
      </c>
      <c r="F50" s="2" t="s">
        <v>16</v>
      </c>
      <c r="G50" s="2"/>
      <c r="H50" s="2"/>
      <c r="I50" s="2"/>
      <c r="J50" s="2" t="s">
        <v>19</v>
      </c>
      <c r="K50" s="2"/>
      <c r="L50" s="2"/>
    </row>
    <row r="51" customFormat="false" ht="13.35" hidden="false" customHeight="true" outlineLevel="0" collapsed="false">
      <c r="A51" s="5" t="str">
        <f aca="false">HYPERLINK("https://www.fabsurplus.com/sdi_catalog/salesItemDetails.do?id=102056")</f>
        <v>https://www.fabsurplus.com/sdi_catalog/salesItemDetails.do?id=102056</v>
      </c>
      <c r="B51" s="5" t="s">
        <v>172</v>
      </c>
      <c r="C51" s="5" t="s">
        <v>173</v>
      </c>
      <c r="D51" s="5" t="s">
        <v>174</v>
      </c>
      <c r="E51" s="5" t="s">
        <v>175</v>
      </c>
      <c r="F51" s="5" t="s">
        <v>176</v>
      </c>
      <c r="G51" s="5"/>
      <c r="H51" s="5" t="s">
        <v>26</v>
      </c>
      <c r="I51" s="5"/>
      <c r="J51" s="5" t="s">
        <v>19</v>
      </c>
      <c r="K51" s="5" t="s">
        <v>20</v>
      </c>
      <c r="L51" s="5" t="s">
        <v>177</v>
      </c>
    </row>
    <row r="52" customFormat="false" ht="13.35" hidden="false" customHeight="true" outlineLevel="0" collapsed="false">
      <c r="A52" s="2" t="str">
        <f aca="false">HYPERLINK("https://www.fabsurplus.com/sdi_catalog/salesItemDetails.do?id=102945")</f>
        <v>https://www.fabsurplus.com/sdi_catalog/salesItemDetails.do?id=102945</v>
      </c>
      <c r="B52" s="2" t="s">
        <v>178</v>
      </c>
      <c r="C52" s="2" t="s">
        <v>173</v>
      </c>
      <c r="D52" s="2" t="s">
        <v>179</v>
      </c>
      <c r="E52" s="2" t="s">
        <v>180</v>
      </c>
      <c r="F52" s="2" t="s">
        <v>16</v>
      </c>
      <c r="G52" s="2" t="s">
        <v>181</v>
      </c>
      <c r="H52" s="2"/>
      <c r="I52" s="3" t="n">
        <v>40940</v>
      </c>
      <c r="J52" s="2" t="s">
        <v>19</v>
      </c>
      <c r="K52" s="2"/>
      <c r="L52" s="2"/>
    </row>
    <row r="53" customFormat="false" ht="13.35" hidden="false" customHeight="true" outlineLevel="0" collapsed="false">
      <c r="A53" s="5" t="str">
        <f aca="false">HYPERLINK("https://www.fabsurplus.com/sdi_catalog/salesItemDetails.do?id=92422")</f>
        <v>https://www.fabsurplus.com/sdi_catalog/salesItemDetails.do?id=92422</v>
      </c>
      <c r="B53" s="5" t="s">
        <v>182</v>
      </c>
      <c r="C53" s="5" t="s">
        <v>163</v>
      </c>
      <c r="D53" s="5" t="s">
        <v>183</v>
      </c>
      <c r="E53" s="5" t="s">
        <v>184</v>
      </c>
      <c r="F53" s="5" t="s">
        <v>16</v>
      </c>
      <c r="G53" s="5"/>
      <c r="H53" s="5"/>
      <c r="I53" s="5"/>
      <c r="J53" s="5" t="s">
        <v>47</v>
      </c>
      <c r="K53" s="5"/>
      <c r="L53" s="5" t="s">
        <v>48</v>
      </c>
    </row>
    <row r="54" customFormat="false" ht="13.35" hidden="false" customHeight="true" outlineLevel="0" collapsed="false">
      <c r="A54" s="2" t="str">
        <f aca="false">HYPERLINK("https://www.fabsurplus.com/sdi_catalog/salesItemDetails.do?id=102068")</f>
        <v>https://www.fabsurplus.com/sdi_catalog/salesItemDetails.do?id=102068</v>
      </c>
      <c r="B54" s="2" t="s">
        <v>185</v>
      </c>
      <c r="C54" s="2" t="s">
        <v>163</v>
      </c>
      <c r="D54" s="2" t="s">
        <v>186</v>
      </c>
      <c r="E54" s="2" t="s">
        <v>187</v>
      </c>
      <c r="F54" s="2" t="s">
        <v>16</v>
      </c>
      <c r="G54" s="2"/>
      <c r="H54" s="2"/>
      <c r="I54" s="2"/>
      <c r="J54" s="2" t="s">
        <v>19</v>
      </c>
      <c r="K54" s="2"/>
      <c r="L54" s="2"/>
    </row>
    <row r="55" customFormat="false" ht="13.35" hidden="false" customHeight="true" outlineLevel="0" collapsed="false">
      <c r="A55" s="2" t="str">
        <f aca="false">HYPERLINK("https://www.fabsurplus.com/sdi_catalog/salesItemDetails.do?id=86074")</f>
        <v>https://www.fabsurplus.com/sdi_catalog/salesItemDetails.do?id=86074</v>
      </c>
      <c r="B55" s="2" t="s">
        <v>188</v>
      </c>
      <c r="C55" s="2" t="s">
        <v>163</v>
      </c>
      <c r="D55" s="2" t="s">
        <v>186</v>
      </c>
      <c r="E55" s="2" t="s">
        <v>189</v>
      </c>
      <c r="F55" s="2" t="s">
        <v>16</v>
      </c>
      <c r="G55" s="2" t="s">
        <v>190</v>
      </c>
      <c r="H55" s="2" t="s">
        <v>18</v>
      </c>
      <c r="I55" s="3" t="n">
        <v>38353</v>
      </c>
      <c r="J55" s="2" t="s">
        <v>19</v>
      </c>
      <c r="K55" s="2" t="s">
        <v>20</v>
      </c>
      <c r="L55" s="4" t="s">
        <v>191</v>
      </c>
    </row>
    <row r="56" customFormat="false" ht="13.35" hidden="false" customHeight="true" outlineLevel="0" collapsed="false">
      <c r="A56" s="5" t="str">
        <f aca="false">HYPERLINK("https://www.fabsurplus.com/sdi_catalog/salesItemDetails.do?id=92428")</f>
        <v>https://www.fabsurplus.com/sdi_catalog/salesItemDetails.do?id=92428</v>
      </c>
      <c r="B56" s="5" t="s">
        <v>192</v>
      </c>
      <c r="C56" s="5" t="s">
        <v>163</v>
      </c>
      <c r="D56" s="5" t="s">
        <v>186</v>
      </c>
      <c r="E56" s="5" t="s">
        <v>184</v>
      </c>
      <c r="F56" s="5" t="s">
        <v>16</v>
      </c>
      <c r="G56" s="5"/>
      <c r="H56" s="5"/>
      <c r="I56" s="5"/>
      <c r="J56" s="5" t="s">
        <v>47</v>
      </c>
      <c r="K56" s="5"/>
      <c r="L56" s="5" t="s">
        <v>48</v>
      </c>
    </row>
    <row r="57" customFormat="false" ht="13.35" hidden="false" customHeight="true" outlineLevel="0" collapsed="false">
      <c r="A57" s="5" t="str">
        <f aca="false">HYPERLINK("https://www.fabsurplus.com/sdi_catalog/salesItemDetails.do?id=86073")</f>
        <v>https://www.fabsurplus.com/sdi_catalog/salesItemDetails.do?id=86073</v>
      </c>
      <c r="B57" s="5" t="s">
        <v>193</v>
      </c>
      <c r="C57" s="5" t="s">
        <v>163</v>
      </c>
      <c r="D57" s="5" t="s">
        <v>194</v>
      </c>
      <c r="E57" s="5" t="s">
        <v>195</v>
      </c>
      <c r="F57" s="5" t="s">
        <v>16</v>
      </c>
      <c r="G57" s="5" t="s">
        <v>190</v>
      </c>
      <c r="H57" s="5" t="s">
        <v>18</v>
      </c>
      <c r="I57" s="5"/>
      <c r="J57" s="5" t="s">
        <v>47</v>
      </c>
      <c r="K57" s="5" t="s">
        <v>20</v>
      </c>
      <c r="L57" s="7" t="s">
        <v>196</v>
      </c>
    </row>
    <row r="58" customFormat="false" ht="13.35" hidden="false" customHeight="true" outlineLevel="0" collapsed="false">
      <c r="A58" s="2" t="str">
        <f aca="false">HYPERLINK("https://www.fabsurplus.com/sdi_catalog/salesItemDetails.do?id=79087")</f>
        <v>https://www.fabsurplus.com/sdi_catalog/salesItemDetails.do?id=79087</v>
      </c>
      <c r="B58" s="2" t="s">
        <v>197</v>
      </c>
      <c r="C58" s="2" t="s">
        <v>173</v>
      </c>
      <c r="D58" s="2" t="s">
        <v>194</v>
      </c>
      <c r="E58" s="2" t="s">
        <v>184</v>
      </c>
      <c r="F58" s="2" t="s">
        <v>16</v>
      </c>
      <c r="G58" s="2" t="s">
        <v>36</v>
      </c>
      <c r="H58" s="2"/>
      <c r="I58" s="2"/>
      <c r="J58" s="2" t="s">
        <v>19</v>
      </c>
      <c r="K58" s="2"/>
      <c r="L58" s="2" t="s">
        <v>198</v>
      </c>
    </row>
    <row r="59" customFormat="false" ht="13.35" hidden="false" customHeight="true" outlineLevel="0" collapsed="false">
      <c r="A59" s="5" t="str">
        <f aca="false">HYPERLINK("https://www.fabsurplus.com/sdi_catalog/salesItemDetails.do?id=79088")</f>
        <v>https://www.fabsurplus.com/sdi_catalog/salesItemDetails.do?id=79088</v>
      </c>
      <c r="B59" s="5" t="s">
        <v>199</v>
      </c>
      <c r="C59" s="5" t="s">
        <v>173</v>
      </c>
      <c r="D59" s="5" t="s">
        <v>194</v>
      </c>
      <c r="E59" s="5" t="s">
        <v>184</v>
      </c>
      <c r="F59" s="5" t="s">
        <v>16</v>
      </c>
      <c r="G59" s="5" t="s">
        <v>36</v>
      </c>
      <c r="H59" s="5" t="s">
        <v>26</v>
      </c>
      <c r="I59" s="6" t="n">
        <v>36892</v>
      </c>
      <c r="J59" s="5" t="s">
        <v>19</v>
      </c>
      <c r="K59" s="5" t="s">
        <v>20</v>
      </c>
      <c r="L59" s="7" t="s">
        <v>200</v>
      </c>
    </row>
    <row r="60" customFormat="false" ht="13.35" hidden="false" customHeight="true" outlineLevel="0" collapsed="false">
      <c r="A60" s="2" t="str">
        <f aca="false">HYPERLINK("https://www.fabsurplus.com/sdi_catalog/salesItemDetails.do?id=79089")</f>
        <v>https://www.fabsurplus.com/sdi_catalog/salesItemDetails.do?id=79089</v>
      </c>
      <c r="B60" s="2" t="s">
        <v>201</v>
      </c>
      <c r="C60" s="2" t="s">
        <v>173</v>
      </c>
      <c r="D60" s="2" t="s">
        <v>194</v>
      </c>
      <c r="E60" s="2" t="s">
        <v>184</v>
      </c>
      <c r="F60" s="2" t="s">
        <v>16</v>
      </c>
      <c r="G60" s="2" t="s">
        <v>36</v>
      </c>
      <c r="H60" s="2" t="s">
        <v>26</v>
      </c>
      <c r="I60" s="2"/>
      <c r="J60" s="2" t="s">
        <v>19</v>
      </c>
      <c r="K60" s="2" t="s">
        <v>20</v>
      </c>
      <c r="L60" s="2" t="s">
        <v>198</v>
      </c>
    </row>
    <row r="61" customFormat="false" ht="13.35" hidden="false" customHeight="true" outlineLevel="0" collapsed="false">
      <c r="A61" s="5" t="str">
        <f aca="false">HYPERLINK("https://www.fabsurplus.com/sdi_catalog/salesItemDetails.do?id=79090")</f>
        <v>https://www.fabsurplus.com/sdi_catalog/salesItemDetails.do?id=79090</v>
      </c>
      <c r="B61" s="5" t="s">
        <v>202</v>
      </c>
      <c r="C61" s="5" t="s">
        <v>173</v>
      </c>
      <c r="D61" s="5" t="s">
        <v>194</v>
      </c>
      <c r="E61" s="5" t="s">
        <v>184</v>
      </c>
      <c r="F61" s="5" t="s">
        <v>16</v>
      </c>
      <c r="G61" s="5" t="s">
        <v>36</v>
      </c>
      <c r="H61" s="5"/>
      <c r="I61" s="5"/>
      <c r="J61" s="5" t="s">
        <v>19</v>
      </c>
      <c r="K61" s="5"/>
      <c r="L61" s="5" t="s">
        <v>198</v>
      </c>
    </row>
    <row r="62" customFormat="false" ht="13.35" hidden="false" customHeight="true" outlineLevel="0" collapsed="false">
      <c r="A62" s="5" t="str">
        <f aca="false">HYPERLINK("https://www.fabsurplus.com/sdi_catalog/salesItemDetails.do?id=92427")</f>
        <v>https://www.fabsurplus.com/sdi_catalog/salesItemDetails.do?id=92427</v>
      </c>
      <c r="B62" s="5" t="s">
        <v>203</v>
      </c>
      <c r="C62" s="5" t="s">
        <v>163</v>
      </c>
      <c r="D62" s="5" t="s">
        <v>194</v>
      </c>
      <c r="E62" s="5" t="s">
        <v>184</v>
      </c>
      <c r="F62" s="5" t="s">
        <v>16</v>
      </c>
      <c r="G62" s="5"/>
      <c r="H62" s="5"/>
      <c r="I62" s="5"/>
      <c r="J62" s="5" t="s">
        <v>47</v>
      </c>
      <c r="K62" s="5"/>
      <c r="L62" s="5" t="s">
        <v>48</v>
      </c>
    </row>
    <row r="63" customFormat="false" ht="13.35" hidden="false" customHeight="true" outlineLevel="0" collapsed="false">
      <c r="A63" s="5" t="str">
        <f aca="false">HYPERLINK("https://www.fabsurplus.com/sdi_catalog/salesItemDetails.do?id=95994")</f>
        <v>https://www.fabsurplus.com/sdi_catalog/salesItemDetails.do?id=95994</v>
      </c>
      <c r="B63" s="5" t="s">
        <v>204</v>
      </c>
      <c r="C63" s="5" t="s">
        <v>173</v>
      </c>
      <c r="D63" s="5" t="s">
        <v>205</v>
      </c>
      <c r="E63" s="5" t="s">
        <v>206</v>
      </c>
      <c r="F63" s="5" t="s">
        <v>16</v>
      </c>
      <c r="G63" s="5" t="s">
        <v>181</v>
      </c>
      <c r="H63" s="5" t="s">
        <v>26</v>
      </c>
      <c r="I63" s="6" t="n">
        <v>39234</v>
      </c>
      <c r="J63" s="5" t="s">
        <v>19</v>
      </c>
      <c r="K63" s="5" t="s">
        <v>20</v>
      </c>
      <c r="L63" s="7" t="s">
        <v>207</v>
      </c>
    </row>
    <row r="64" customFormat="false" ht="13.35" hidden="false" customHeight="true" outlineLevel="0" collapsed="false">
      <c r="A64" s="2" t="str">
        <f aca="false">HYPERLINK("https://www.fabsurplus.com/sdi_catalog/salesItemDetails.do?id=95995")</f>
        <v>https://www.fabsurplus.com/sdi_catalog/salesItemDetails.do?id=95995</v>
      </c>
      <c r="B64" s="2" t="s">
        <v>208</v>
      </c>
      <c r="C64" s="2" t="s">
        <v>173</v>
      </c>
      <c r="D64" s="2" t="s">
        <v>205</v>
      </c>
      <c r="E64" s="2" t="s">
        <v>206</v>
      </c>
      <c r="F64" s="2" t="s">
        <v>16</v>
      </c>
      <c r="G64" s="2" t="s">
        <v>181</v>
      </c>
      <c r="H64" s="2"/>
      <c r="I64" s="3" t="n">
        <v>38504</v>
      </c>
      <c r="J64" s="2" t="s">
        <v>19</v>
      </c>
      <c r="K64" s="2"/>
      <c r="L64" s="4" t="s">
        <v>209</v>
      </c>
    </row>
    <row r="65" customFormat="false" ht="13.35" hidden="false" customHeight="true" outlineLevel="0" collapsed="false">
      <c r="A65" s="2" t="str">
        <f aca="false">HYPERLINK("https://www.fabsurplus.com/sdi_catalog/salesItemDetails.do?id=102946")</f>
        <v>https://www.fabsurplus.com/sdi_catalog/salesItemDetails.do?id=102946</v>
      </c>
      <c r="B65" s="2" t="s">
        <v>210</v>
      </c>
      <c r="C65" s="2" t="s">
        <v>173</v>
      </c>
      <c r="D65" s="2" t="s">
        <v>205</v>
      </c>
      <c r="E65" s="2" t="s">
        <v>211</v>
      </c>
      <c r="F65" s="2" t="s">
        <v>16</v>
      </c>
      <c r="G65" s="2" t="s">
        <v>181</v>
      </c>
      <c r="H65" s="2"/>
      <c r="I65" s="3" t="n">
        <v>38596</v>
      </c>
      <c r="J65" s="2" t="s">
        <v>19</v>
      </c>
      <c r="K65" s="2"/>
      <c r="L65" s="2"/>
    </row>
    <row r="66" customFormat="false" ht="13.35" hidden="false" customHeight="true" outlineLevel="0" collapsed="false">
      <c r="A66" s="2" t="str">
        <f aca="false">HYPERLINK("https://www.fabsurplus.com/sdi_catalog/salesItemDetails.do?id=78327")</f>
        <v>https://www.fabsurplus.com/sdi_catalog/salesItemDetails.do?id=78327</v>
      </c>
      <c r="B66" s="2" t="s">
        <v>212</v>
      </c>
      <c r="C66" s="2" t="s">
        <v>163</v>
      </c>
      <c r="D66" s="2" t="s">
        <v>205</v>
      </c>
      <c r="E66" s="2" t="s">
        <v>211</v>
      </c>
      <c r="F66" s="2" t="s">
        <v>125</v>
      </c>
      <c r="G66" s="2"/>
      <c r="H66" s="2"/>
      <c r="I66" s="2"/>
      <c r="J66" s="2" t="s">
        <v>19</v>
      </c>
      <c r="K66" s="2"/>
      <c r="L66" s="2" t="s">
        <v>112</v>
      </c>
    </row>
    <row r="67" customFormat="false" ht="13.35" hidden="false" customHeight="true" outlineLevel="0" collapsed="false">
      <c r="A67" s="5" t="str">
        <f aca="false">HYPERLINK("https://www.fabsurplus.com/sdi_catalog/salesItemDetails.do?id=92426")</f>
        <v>https://www.fabsurplus.com/sdi_catalog/salesItemDetails.do?id=92426</v>
      </c>
      <c r="B67" s="5" t="s">
        <v>213</v>
      </c>
      <c r="C67" s="5" t="s">
        <v>163</v>
      </c>
      <c r="D67" s="5" t="s">
        <v>205</v>
      </c>
      <c r="E67" s="5" t="s">
        <v>184</v>
      </c>
      <c r="F67" s="5" t="s">
        <v>16</v>
      </c>
      <c r="G67" s="5"/>
      <c r="H67" s="5"/>
      <c r="I67" s="5"/>
      <c r="J67" s="5" t="s">
        <v>47</v>
      </c>
      <c r="K67" s="5"/>
      <c r="L67" s="5" t="s">
        <v>48</v>
      </c>
    </row>
    <row r="68" customFormat="false" ht="13.35" hidden="false" customHeight="true" outlineLevel="0" collapsed="false">
      <c r="A68" s="5" t="str">
        <f aca="false">HYPERLINK("https://www.fabsurplus.com/sdi_catalog/salesItemDetails.do?id=86071")</f>
        <v>https://www.fabsurplus.com/sdi_catalog/salesItemDetails.do?id=86071</v>
      </c>
      <c r="B68" s="5" t="s">
        <v>214</v>
      </c>
      <c r="C68" s="5" t="s">
        <v>163</v>
      </c>
      <c r="D68" s="5" t="s">
        <v>215</v>
      </c>
      <c r="E68" s="5" t="s">
        <v>216</v>
      </c>
      <c r="F68" s="5" t="s">
        <v>16</v>
      </c>
      <c r="G68" s="5" t="s">
        <v>190</v>
      </c>
      <c r="H68" s="5" t="s">
        <v>18</v>
      </c>
      <c r="I68" s="5"/>
      <c r="J68" s="5" t="s">
        <v>19</v>
      </c>
      <c r="K68" s="5" t="s">
        <v>20</v>
      </c>
      <c r="L68" s="7" t="s">
        <v>196</v>
      </c>
    </row>
    <row r="69" customFormat="false" ht="13.35" hidden="false" customHeight="true" outlineLevel="0" collapsed="false">
      <c r="A69" s="2" t="str">
        <f aca="false">HYPERLINK("https://www.fabsurplus.com/sdi_catalog/salesItemDetails.do?id=92424")</f>
        <v>https://www.fabsurplus.com/sdi_catalog/salesItemDetails.do?id=92424</v>
      </c>
      <c r="B69" s="2" t="s">
        <v>217</v>
      </c>
      <c r="C69" s="2" t="s">
        <v>163</v>
      </c>
      <c r="D69" s="2" t="s">
        <v>215</v>
      </c>
      <c r="E69" s="2" t="s">
        <v>184</v>
      </c>
      <c r="F69" s="2" t="s">
        <v>16</v>
      </c>
      <c r="G69" s="2"/>
      <c r="H69" s="2"/>
      <c r="I69" s="2"/>
      <c r="J69" s="2" t="s">
        <v>47</v>
      </c>
      <c r="K69" s="2"/>
      <c r="L69" s="2" t="s">
        <v>48</v>
      </c>
    </row>
    <row r="70" customFormat="false" ht="13.35" hidden="false" customHeight="true" outlineLevel="0" collapsed="false">
      <c r="A70" s="2" t="str">
        <f aca="false">HYPERLINK("https://www.fabsurplus.com/sdi_catalog/salesItemDetails.do?id=92423")</f>
        <v>https://www.fabsurplus.com/sdi_catalog/salesItemDetails.do?id=92423</v>
      </c>
      <c r="B70" s="2" t="s">
        <v>218</v>
      </c>
      <c r="C70" s="2" t="s">
        <v>163</v>
      </c>
      <c r="D70" s="2" t="s">
        <v>219</v>
      </c>
      <c r="E70" s="2" t="s">
        <v>184</v>
      </c>
      <c r="F70" s="2" t="s">
        <v>16</v>
      </c>
      <c r="G70" s="2"/>
      <c r="H70" s="2"/>
      <c r="I70" s="2"/>
      <c r="J70" s="2" t="s">
        <v>47</v>
      </c>
      <c r="K70" s="2"/>
      <c r="L70" s="2" t="s">
        <v>48</v>
      </c>
    </row>
    <row r="71" customFormat="false" ht="13.35" hidden="false" customHeight="true" outlineLevel="0" collapsed="false">
      <c r="A71" s="2" t="str">
        <f aca="false">HYPERLINK("https://www.fabsurplus.com/sdi_catalog/salesItemDetails.do?id=86052")</f>
        <v>https://www.fabsurplus.com/sdi_catalog/salesItemDetails.do?id=86052</v>
      </c>
      <c r="B71" s="2" t="s">
        <v>220</v>
      </c>
      <c r="C71" s="2" t="s">
        <v>173</v>
      </c>
      <c r="D71" s="2" t="s">
        <v>221</v>
      </c>
      <c r="E71" s="2" t="s">
        <v>184</v>
      </c>
      <c r="F71" s="2" t="s">
        <v>16</v>
      </c>
      <c r="G71" s="2" t="s">
        <v>222</v>
      </c>
      <c r="H71" s="2"/>
      <c r="I71" s="2"/>
      <c r="J71" s="2" t="s">
        <v>19</v>
      </c>
      <c r="K71" s="2"/>
      <c r="L71" s="2"/>
    </row>
    <row r="72" customFormat="false" ht="13.35" hidden="false" customHeight="true" outlineLevel="0" collapsed="false">
      <c r="A72" s="2" t="str">
        <f aca="false">HYPERLINK("https://www.fabsurplus.com/sdi_catalog/salesItemDetails.do?id=86072")</f>
        <v>https://www.fabsurplus.com/sdi_catalog/salesItemDetails.do?id=86072</v>
      </c>
      <c r="B72" s="2" t="s">
        <v>223</v>
      </c>
      <c r="C72" s="2" t="s">
        <v>163</v>
      </c>
      <c r="D72" s="2" t="s">
        <v>224</v>
      </c>
      <c r="E72" s="2" t="s">
        <v>195</v>
      </c>
      <c r="F72" s="2" t="s">
        <v>16</v>
      </c>
      <c r="G72" s="2" t="s">
        <v>190</v>
      </c>
      <c r="H72" s="2" t="s">
        <v>18</v>
      </c>
      <c r="I72" s="2"/>
      <c r="J72" s="2" t="s">
        <v>47</v>
      </c>
      <c r="K72" s="2" t="s">
        <v>20</v>
      </c>
      <c r="L72" s="4" t="s">
        <v>196</v>
      </c>
    </row>
    <row r="73" customFormat="false" ht="13.35" hidden="false" customHeight="true" outlineLevel="0" collapsed="false">
      <c r="A73" s="5" t="str">
        <f aca="false">HYPERLINK("https://www.fabsurplus.com/sdi_catalog/salesItemDetails.do?id=92425")</f>
        <v>https://www.fabsurplus.com/sdi_catalog/salesItemDetails.do?id=92425</v>
      </c>
      <c r="B73" s="5" t="s">
        <v>225</v>
      </c>
      <c r="C73" s="5" t="s">
        <v>163</v>
      </c>
      <c r="D73" s="5" t="s">
        <v>226</v>
      </c>
      <c r="E73" s="5" t="s">
        <v>184</v>
      </c>
      <c r="F73" s="5" t="s">
        <v>16</v>
      </c>
      <c r="G73" s="5" t="s">
        <v>181</v>
      </c>
      <c r="H73" s="5" t="s">
        <v>18</v>
      </c>
      <c r="I73" s="5"/>
      <c r="J73" s="5" t="s">
        <v>47</v>
      </c>
      <c r="K73" s="5" t="s">
        <v>20</v>
      </c>
      <c r="L73" s="5" t="s">
        <v>48</v>
      </c>
    </row>
    <row r="74" customFormat="false" ht="13.35" hidden="false" customHeight="true" outlineLevel="0" collapsed="false">
      <c r="A74" s="5" t="str">
        <f aca="false">HYPERLINK("https://www.fabsurplus.com/sdi_catalog/salesItemDetails.do?id=86061")</f>
        <v>https://www.fabsurplus.com/sdi_catalog/salesItemDetails.do?id=86061</v>
      </c>
      <c r="B74" s="5" t="s">
        <v>227</v>
      </c>
      <c r="C74" s="5" t="s">
        <v>163</v>
      </c>
      <c r="D74" s="5" t="s">
        <v>228</v>
      </c>
      <c r="E74" s="5" t="s">
        <v>229</v>
      </c>
      <c r="F74" s="5" t="s">
        <v>16</v>
      </c>
      <c r="G74" s="5" t="s">
        <v>190</v>
      </c>
      <c r="H74" s="5" t="s">
        <v>18</v>
      </c>
      <c r="I74" s="5"/>
      <c r="J74" s="5" t="s">
        <v>47</v>
      </c>
      <c r="K74" s="5" t="s">
        <v>20</v>
      </c>
      <c r="L74" s="7" t="s">
        <v>196</v>
      </c>
    </row>
    <row r="75" customFormat="false" ht="13.35" hidden="false" customHeight="true" outlineLevel="0" collapsed="false">
      <c r="A75" s="5" t="str">
        <f aca="false">HYPERLINK("https://www.fabsurplus.com/sdi_catalog/salesItemDetails.do?id=92451")</f>
        <v>https://www.fabsurplus.com/sdi_catalog/salesItemDetails.do?id=92451</v>
      </c>
      <c r="B75" s="5" t="s">
        <v>230</v>
      </c>
      <c r="C75" s="5" t="s">
        <v>163</v>
      </c>
      <c r="D75" s="5" t="s">
        <v>228</v>
      </c>
      <c r="E75" s="5" t="s">
        <v>229</v>
      </c>
      <c r="F75" s="5" t="s">
        <v>16</v>
      </c>
      <c r="G75" s="5"/>
      <c r="H75" s="5"/>
      <c r="I75" s="5"/>
      <c r="J75" s="5" t="s">
        <v>47</v>
      </c>
      <c r="K75" s="5"/>
      <c r="L75" s="5" t="s">
        <v>48</v>
      </c>
    </row>
    <row r="76" customFormat="false" ht="13.35" hidden="false" customHeight="true" outlineLevel="0" collapsed="false">
      <c r="A76" s="2" t="str">
        <f aca="false">HYPERLINK("https://www.fabsurplus.com/sdi_catalog/salesItemDetails.do?id=88386")</f>
        <v>https://www.fabsurplus.com/sdi_catalog/salesItemDetails.do?id=88386</v>
      </c>
      <c r="B76" s="2" t="s">
        <v>231</v>
      </c>
      <c r="C76" s="2" t="s">
        <v>163</v>
      </c>
      <c r="D76" s="2" t="s">
        <v>232</v>
      </c>
      <c r="E76" s="2" t="s">
        <v>233</v>
      </c>
      <c r="F76" s="2" t="s">
        <v>16</v>
      </c>
      <c r="G76" s="2" t="s">
        <v>181</v>
      </c>
      <c r="H76" s="2"/>
      <c r="I76" s="2"/>
      <c r="J76" s="2" t="s">
        <v>47</v>
      </c>
      <c r="K76" s="2"/>
      <c r="L76" s="4" t="s">
        <v>234</v>
      </c>
    </row>
    <row r="77" customFormat="false" ht="13.35" hidden="false" customHeight="true" outlineLevel="0" collapsed="false">
      <c r="A77" s="5" t="str">
        <f aca="false">HYPERLINK("https://www.fabsurplus.com/sdi_catalog/salesItemDetails.do?id=86062")</f>
        <v>https://www.fabsurplus.com/sdi_catalog/salesItemDetails.do?id=86062</v>
      </c>
      <c r="B77" s="5" t="s">
        <v>235</v>
      </c>
      <c r="C77" s="5" t="s">
        <v>163</v>
      </c>
      <c r="D77" s="5" t="s">
        <v>236</v>
      </c>
      <c r="E77" s="5" t="s">
        <v>229</v>
      </c>
      <c r="F77" s="5" t="s">
        <v>16</v>
      </c>
      <c r="G77" s="5" t="s">
        <v>190</v>
      </c>
      <c r="H77" s="5" t="s">
        <v>18</v>
      </c>
      <c r="I77" s="5"/>
      <c r="J77" s="5" t="s">
        <v>47</v>
      </c>
      <c r="K77" s="5" t="s">
        <v>20</v>
      </c>
      <c r="L77" s="7" t="s">
        <v>196</v>
      </c>
    </row>
    <row r="78" customFormat="false" ht="13.35" hidden="false" customHeight="true" outlineLevel="0" collapsed="false">
      <c r="A78" s="5" t="str">
        <f aca="false">HYPERLINK("https://www.fabsurplus.com/sdi_catalog/salesItemDetails.do?id=92452")</f>
        <v>https://www.fabsurplus.com/sdi_catalog/salesItemDetails.do?id=92452</v>
      </c>
      <c r="B78" s="5" t="s">
        <v>237</v>
      </c>
      <c r="C78" s="5" t="s">
        <v>163</v>
      </c>
      <c r="D78" s="5" t="s">
        <v>236</v>
      </c>
      <c r="E78" s="5" t="s">
        <v>229</v>
      </c>
      <c r="F78" s="5" t="s">
        <v>16</v>
      </c>
      <c r="G78" s="5"/>
      <c r="H78" s="5"/>
      <c r="I78" s="5"/>
      <c r="J78" s="5" t="s">
        <v>47</v>
      </c>
      <c r="K78" s="5"/>
      <c r="L78" s="5" t="s">
        <v>48</v>
      </c>
    </row>
    <row r="79" customFormat="false" ht="13.35" hidden="false" customHeight="true" outlineLevel="0" collapsed="false">
      <c r="A79" s="5" t="str">
        <f aca="false">HYPERLINK("https://www.fabsurplus.com/sdi_catalog/salesItemDetails.do?id=94024")</f>
        <v>https://www.fabsurplus.com/sdi_catalog/salesItemDetails.do?id=94024</v>
      </c>
      <c r="B79" s="5" t="s">
        <v>238</v>
      </c>
      <c r="C79" s="5" t="s">
        <v>173</v>
      </c>
      <c r="D79" s="5" t="s">
        <v>236</v>
      </c>
      <c r="E79" s="5" t="s">
        <v>239</v>
      </c>
      <c r="F79" s="5" t="s">
        <v>16</v>
      </c>
      <c r="G79" s="5" t="s">
        <v>240</v>
      </c>
      <c r="H79" s="5" t="s">
        <v>26</v>
      </c>
      <c r="I79" s="6" t="n">
        <v>36678</v>
      </c>
      <c r="J79" s="5" t="s">
        <v>19</v>
      </c>
      <c r="K79" s="5" t="s">
        <v>20</v>
      </c>
      <c r="L79" s="7" t="s">
        <v>241</v>
      </c>
    </row>
    <row r="80" customFormat="false" ht="13.35" hidden="false" customHeight="true" outlineLevel="0" collapsed="false">
      <c r="A80" s="2" t="str">
        <f aca="false">HYPERLINK("https://www.fabsurplus.com/sdi_catalog/salesItemDetails.do?id=88387")</f>
        <v>https://www.fabsurplus.com/sdi_catalog/salesItemDetails.do?id=88387</v>
      </c>
      <c r="B80" s="2" t="s">
        <v>242</v>
      </c>
      <c r="C80" s="2" t="s">
        <v>163</v>
      </c>
      <c r="D80" s="2" t="s">
        <v>243</v>
      </c>
      <c r="E80" s="2" t="s">
        <v>244</v>
      </c>
      <c r="F80" s="2" t="s">
        <v>16</v>
      </c>
      <c r="G80" s="2" t="s">
        <v>181</v>
      </c>
      <c r="H80" s="2"/>
      <c r="I80" s="2"/>
      <c r="J80" s="2" t="s">
        <v>47</v>
      </c>
      <c r="K80" s="2"/>
      <c r="L80" s="4" t="s">
        <v>234</v>
      </c>
    </row>
    <row r="81" customFormat="false" ht="13.35" hidden="false" customHeight="true" outlineLevel="0" collapsed="false">
      <c r="A81" s="2" t="str">
        <f aca="false">HYPERLINK("https://www.fabsurplus.com/sdi_catalog/salesItemDetails.do?id=92466")</f>
        <v>https://www.fabsurplus.com/sdi_catalog/salesItemDetails.do?id=92466</v>
      </c>
      <c r="B81" s="2" t="s">
        <v>245</v>
      </c>
      <c r="C81" s="2" t="s">
        <v>163</v>
      </c>
      <c r="D81" s="2" t="s">
        <v>246</v>
      </c>
      <c r="E81" s="2" t="s">
        <v>247</v>
      </c>
      <c r="F81" s="2" t="s">
        <v>16</v>
      </c>
      <c r="G81" s="2"/>
      <c r="H81" s="2"/>
      <c r="I81" s="2"/>
      <c r="J81" s="2" t="s">
        <v>47</v>
      </c>
      <c r="K81" s="2"/>
      <c r="L81" s="2" t="s">
        <v>48</v>
      </c>
    </row>
    <row r="82" customFormat="false" ht="13.35" hidden="false" customHeight="true" outlineLevel="0" collapsed="false">
      <c r="A82" s="2" t="str">
        <f aca="false">HYPERLINK("https://www.fabsurplus.com/sdi_catalog/salesItemDetails.do?id=102506")</f>
        <v>https://www.fabsurplus.com/sdi_catalog/salesItemDetails.do?id=102506</v>
      </c>
      <c r="B82" s="2" t="s">
        <v>248</v>
      </c>
      <c r="C82" s="2" t="s">
        <v>173</v>
      </c>
      <c r="D82" s="2" t="s">
        <v>249</v>
      </c>
      <c r="E82" s="2" t="s">
        <v>169</v>
      </c>
      <c r="F82" s="2" t="s">
        <v>16</v>
      </c>
      <c r="G82" s="2"/>
      <c r="H82" s="2" t="s">
        <v>26</v>
      </c>
      <c r="I82" s="2"/>
      <c r="J82" s="2" t="s">
        <v>19</v>
      </c>
      <c r="K82" s="2" t="s">
        <v>20</v>
      </c>
      <c r="L82" s="4" t="s">
        <v>250</v>
      </c>
    </row>
    <row r="83" customFormat="false" ht="13.35" hidden="false" customHeight="true" outlineLevel="0" collapsed="false">
      <c r="A83" s="2" t="str">
        <f aca="false">HYPERLINK("https://www.fabsurplus.com/sdi_catalog/salesItemDetails.do?id=88388")</f>
        <v>https://www.fabsurplus.com/sdi_catalog/salesItemDetails.do?id=88388</v>
      </c>
      <c r="B83" s="2" t="s">
        <v>251</v>
      </c>
      <c r="C83" s="2" t="s">
        <v>163</v>
      </c>
      <c r="D83" s="2" t="s">
        <v>252</v>
      </c>
      <c r="E83" s="2" t="s">
        <v>244</v>
      </c>
      <c r="F83" s="2" t="s">
        <v>16</v>
      </c>
      <c r="G83" s="2" t="s">
        <v>181</v>
      </c>
      <c r="H83" s="2"/>
      <c r="I83" s="2"/>
      <c r="J83" s="2" t="s">
        <v>47</v>
      </c>
      <c r="K83" s="2"/>
      <c r="L83" s="4" t="s">
        <v>234</v>
      </c>
    </row>
    <row r="84" customFormat="false" ht="13.35" hidden="false" customHeight="true" outlineLevel="0" collapsed="false">
      <c r="A84" s="2" t="str">
        <f aca="false">HYPERLINK("https://www.fabsurplus.com/sdi_catalog/salesItemDetails.do?id=92465")</f>
        <v>https://www.fabsurplus.com/sdi_catalog/salesItemDetails.do?id=92465</v>
      </c>
      <c r="B84" s="2" t="s">
        <v>253</v>
      </c>
      <c r="C84" s="2" t="s">
        <v>163</v>
      </c>
      <c r="D84" s="2" t="s">
        <v>254</v>
      </c>
      <c r="E84" s="2" t="s">
        <v>247</v>
      </c>
      <c r="F84" s="2" t="s">
        <v>16</v>
      </c>
      <c r="G84" s="2"/>
      <c r="H84" s="2"/>
      <c r="I84" s="2"/>
      <c r="J84" s="2" t="s">
        <v>47</v>
      </c>
      <c r="K84" s="2"/>
      <c r="L84" s="2" t="s">
        <v>48</v>
      </c>
    </row>
    <row r="85" customFormat="false" ht="13.35" hidden="false" customHeight="true" outlineLevel="0" collapsed="false">
      <c r="A85" s="5" t="str">
        <f aca="false">HYPERLINK("https://www.fabsurplus.com/sdi_catalog/salesItemDetails.do?id=102657")</f>
        <v>https://www.fabsurplus.com/sdi_catalog/salesItemDetails.do?id=102657</v>
      </c>
      <c r="B85" s="5" t="s">
        <v>255</v>
      </c>
      <c r="C85" s="5" t="s">
        <v>163</v>
      </c>
      <c r="D85" s="5" t="s">
        <v>256</v>
      </c>
      <c r="E85" s="5" t="s">
        <v>257</v>
      </c>
      <c r="F85" s="5" t="s">
        <v>16</v>
      </c>
      <c r="G85" s="5" t="s">
        <v>181</v>
      </c>
      <c r="H85" s="5"/>
      <c r="I85" s="5"/>
      <c r="J85" s="5" t="s">
        <v>19</v>
      </c>
      <c r="K85" s="5"/>
      <c r="L85" s="7" t="s">
        <v>258</v>
      </c>
    </row>
    <row r="86" customFormat="false" ht="13.35" hidden="false" customHeight="true" outlineLevel="0" collapsed="false">
      <c r="A86" s="2" t="str">
        <f aca="false">HYPERLINK("https://www.fabsurplus.com/sdi_catalog/salesItemDetails.do?id=86055")</f>
        <v>https://www.fabsurplus.com/sdi_catalog/salesItemDetails.do?id=86055</v>
      </c>
      <c r="B86" s="2" t="s">
        <v>259</v>
      </c>
      <c r="C86" s="2" t="s">
        <v>173</v>
      </c>
      <c r="D86" s="2" t="s">
        <v>260</v>
      </c>
      <c r="E86" s="2" t="s">
        <v>239</v>
      </c>
      <c r="F86" s="2" t="s">
        <v>16</v>
      </c>
      <c r="G86" s="2" t="s">
        <v>181</v>
      </c>
      <c r="H86" s="2" t="s">
        <v>18</v>
      </c>
      <c r="I86" s="2"/>
      <c r="J86" s="2" t="s">
        <v>19</v>
      </c>
      <c r="K86" s="2" t="s">
        <v>20</v>
      </c>
      <c r="L86" s="2"/>
    </row>
    <row r="87" customFormat="false" ht="13.35" hidden="false" customHeight="true" outlineLevel="0" collapsed="false">
      <c r="A87" s="2" t="str">
        <f aca="false">HYPERLINK("https://www.fabsurplus.com/sdi_catalog/salesItemDetails.do?id=86060")</f>
        <v>https://www.fabsurplus.com/sdi_catalog/salesItemDetails.do?id=86060</v>
      </c>
      <c r="B87" s="2" t="s">
        <v>261</v>
      </c>
      <c r="C87" s="2" t="s">
        <v>163</v>
      </c>
      <c r="D87" s="2" t="s">
        <v>262</v>
      </c>
      <c r="E87" s="2" t="s">
        <v>229</v>
      </c>
      <c r="F87" s="2" t="s">
        <v>16</v>
      </c>
      <c r="G87" s="2" t="s">
        <v>190</v>
      </c>
      <c r="H87" s="2" t="s">
        <v>18</v>
      </c>
      <c r="I87" s="2"/>
      <c r="J87" s="2" t="s">
        <v>47</v>
      </c>
      <c r="K87" s="2" t="s">
        <v>20</v>
      </c>
      <c r="L87" s="4" t="s">
        <v>263</v>
      </c>
    </row>
    <row r="88" customFormat="false" ht="13.35" hidden="false" customHeight="true" outlineLevel="0" collapsed="false">
      <c r="A88" s="5" t="str">
        <f aca="false">HYPERLINK("https://www.fabsurplus.com/sdi_catalog/salesItemDetails.do?id=92450")</f>
        <v>https://www.fabsurplus.com/sdi_catalog/salesItemDetails.do?id=92450</v>
      </c>
      <c r="B88" s="5" t="s">
        <v>264</v>
      </c>
      <c r="C88" s="5" t="s">
        <v>163</v>
      </c>
      <c r="D88" s="5" t="s">
        <v>262</v>
      </c>
      <c r="E88" s="5" t="s">
        <v>229</v>
      </c>
      <c r="F88" s="5" t="s">
        <v>16</v>
      </c>
      <c r="G88" s="5"/>
      <c r="H88" s="5"/>
      <c r="I88" s="5"/>
      <c r="J88" s="5" t="s">
        <v>47</v>
      </c>
      <c r="K88" s="5"/>
      <c r="L88" s="5" t="s">
        <v>48</v>
      </c>
    </row>
    <row r="89" customFormat="false" ht="13.35" hidden="false" customHeight="true" outlineLevel="0" collapsed="false">
      <c r="A89" s="2" t="str">
        <f aca="false">HYPERLINK("https://www.fabsurplus.com/sdi_catalog/salesItemDetails.do?id=86701")</f>
        <v>https://www.fabsurplus.com/sdi_catalog/salesItemDetails.do?id=86701</v>
      </c>
      <c r="B89" s="2" t="s">
        <v>265</v>
      </c>
      <c r="C89" s="2" t="s">
        <v>163</v>
      </c>
      <c r="D89" s="2" t="s">
        <v>262</v>
      </c>
      <c r="E89" s="2" t="s">
        <v>266</v>
      </c>
      <c r="F89" s="2" t="s">
        <v>16</v>
      </c>
      <c r="G89" s="2" t="s">
        <v>181</v>
      </c>
      <c r="H89" s="2" t="s">
        <v>18</v>
      </c>
      <c r="I89" s="3" t="n">
        <v>38718</v>
      </c>
      <c r="J89" s="2" t="s">
        <v>19</v>
      </c>
      <c r="K89" s="2" t="s">
        <v>20</v>
      </c>
      <c r="L89" s="4" t="s">
        <v>267</v>
      </c>
    </row>
    <row r="90" customFormat="false" ht="13.35" hidden="false" customHeight="true" outlineLevel="0" collapsed="false">
      <c r="A90" s="5" t="str">
        <f aca="false">HYPERLINK("https://www.fabsurplus.com/sdi_catalog/salesItemDetails.do?id=92449")</f>
        <v>https://www.fabsurplus.com/sdi_catalog/salesItemDetails.do?id=92449</v>
      </c>
      <c r="B90" s="5" t="s">
        <v>268</v>
      </c>
      <c r="C90" s="5" t="s">
        <v>163</v>
      </c>
      <c r="D90" s="5" t="s">
        <v>269</v>
      </c>
      <c r="E90" s="5" t="s">
        <v>229</v>
      </c>
      <c r="F90" s="5" t="s">
        <v>16</v>
      </c>
      <c r="G90" s="5"/>
      <c r="H90" s="5"/>
      <c r="I90" s="5"/>
      <c r="J90" s="5" t="s">
        <v>47</v>
      </c>
      <c r="K90" s="5"/>
      <c r="L90" s="5" t="s">
        <v>48</v>
      </c>
    </row>
    <row r="91" customFormat="false" ht="13.35" hidden="false" customHeight="true" outlineLevel="0" collapsed="false">
      <c r="A91" s="2" t="str">
        <f aca="false">HYPERLINK("https://www.fabsurplus.com/sdi_catalog/salesItemDetails.do?id=88389")</f>
        <v>https://www.fabsurplus.com/sdi_catalog/salesItemDetails.do?id=88389</v>
      </c>
      <c r="B91" s="2" t="s">
        <v>270</v>
      </c>
      <c r="C91" s="2" t="s">
        <v>163</v>
      </c>
      <c r="D91" s="2" t="s">
        <v>271</v>
      </c>
      <c r="E91" s="2" t="s">
        <v>233</v>
      </c>
      <c r="F91" s="2" t="s">
        <v>16</v>
      </c>
      <c r="G91" s="2" t="s">
        <v>181</v>
      </c>
      <c r="H91" s="2" t="s">
        <v>26</v>
      </c>
      <c r="I91" s="2"/>
      <c r="J91" s="2" t="s">
        <v>19</v>
      </c>
      <c r="K91" s="2" t="s">
        <v>20</v>
      </c>
      <c r="L91" s="4" t="s">
        <v>272</v>
      </c>
    </row>
    <row r="92" customFormat="false" ht="13.35" hidden="false" customHeight="true" outlineLevel="0" collapsed="false">
      <c r="A92" s="2" t="str">
        <f aca="false">HYPERLINK("https://www.fabsurplus.com/sdi_catalog/salesItemDetails.do?id=88390")</f>
        <v>https://www.fabsurplus.com/sdi_catalog/salesItemDetails.do?id=88390</v>
      </c>
      <c r="B92" s="2" t="s">
        <v>273</v>
      </c>
      <c r="C92" s="2" t="s">
        <v>163</v>
      </c>
      <c r="D92" s="2" t="s">
        <v>274</v>
      </c>
      <c r="E92" s="2" t="s">
        <v>244</v>
      </c>
      <c r="F92" s="2" t="s">
        <v>16</v>
      </c>
      <c r="G92" s="2" t="s">
        <v>181</v>
      </c>
      <c r="H92" s="2"/>
      <c r="I92" s="2"/>
      <c r="J92" s="2" t="s">
        <v>47</v>
      </c>
      <c r="K92" s="2"/>
      <c r="L92" s="4" t="s">
        <v>234</v>
      </c>
    </row>
    <row r="93" customFormat="false" ht="13.35" hidden="false" customHeight="true" outlineLevel="0" collapsed="false">
      <c r="A93" s="2" t="str">
        <f aca="false">HYPERLINK("https://www.fabsurplus.com/sdi_catalog/salesItemDetails.do?id=92464")</f>
        <v>https://www.fabsurplus.com/sdi_catalog/salesItemDetails.do?id=92464</v>
      </c>
      <c r="B93" s="2" t="s">
        <v>275</v>
      </c>
      <c r="C93" s="2" t="s">
        <v>163</v>
      </c>
      <c r="D93" s="2" t="s">
        <v>276</v>
      </c>
      <c r="E93" s="2" t="s">
        <v>247</v>
      </c>
      <c r="F93" s="2" t="s">
        <v>16</v>
      </c>
      <c r="G93" s="2"/>
      <c r="H93" s="2"/>
      <c r="I93" s="2"/>
      <c r="J93" s="2" t="s">
        <v>47</v>
      </c>
      <c r="K93" s="2"/>
      <c r="L93" s="2" t="s">
        <v>48</v>
      </c>
    </row>
    <row r="94" customFormat="false" ht="13.35" hidden="false" customHeight="true" outlineLevel="0" collapsed="false">
      <c r="A94" s="2" t="str">
        <f aca="false">HYPERLINK("https://www.fabsurplus.com/sdi_catalog/salesItemDetails.do?id=102565")</f>
        <v>https://www.fabsurplus.com/sdi_catalog/salesItemDetails.do?id=102565</v>
      </c>
      <c r="B94" s="2" t="s">
        <v>277</v>
      </c>
      <c r="C94" s="2" t="s">
        <v>163</v>
      </c>
      <c r="D94" s="2" t="s">
        <v>278</v>
      </c>
      <c r="E94" s="2" t="s">
        <v>169</v>
      </c>
      <c r="F94" s="2" t="s">
        <v>58</v>
      </c>
      <c r="G94" s="2" t="s">
        <v>181</v>
      </c>
      <c r="H94" s="2"/>
      <c r="I94" s="2"/>
      <c r="J94" s="2" t="s">
        <v>47</v>
      </c>
      <c r="K94" s="2"/>
      <c r="L94" s="2"/>
    </row>
    <row r="95" customFormat="false" ht="13.35" hidden="false" customHeight="true" outlineLevel="0" collapsed="false">
      <c r="A95" s="5" t="str">
        <f aca="false">HYPERLINK("https://www.fabsurplus.com/sdi_catalog/salesItemDetails.do?id=86066")</f>
        <v>https://www.fabsurplus.com/sdi_catalog/salesItemDetails.do?id=86066</v>
      </c>
      <c r="B95" s="5" t="s">
        <v>279</v>
      </c>
      <c r="C95" s="5" t="s">
        <v>163</v>
      </c>
      <c r="D95" s="5" t="s">
        <v>280</v>
      </c>
      <c r="E95" s="5" t="s">
        <v>229</v>
      </c>
      <c r="F95" s="5" t="s">
        <v>16</v>
      </c>
      <c r="G95" s="5" t="s">
        <v>190</v>
      </c>
      <c r="H95" s="5" t="s">
        <v>18</v>
      </c>
      <c r="I95" s="5"/>
      <c r="J95" s="5" t="s">
        <v>47</v>
      </c>
      <c r="K95" s="5" t="s">
        <v>20</v>
      </c>
      <c r="L95" s="7" t="s">
        <v>196</v>
      </c>
    </row>
    <row r="96" customFormat="false" ht="13.35" hidden="false" customHeight="true" outlineLevel="0" collapsed="false">
      <c r="A96" s="2" t="str">
        <f aca="false">HYPERLINK("https://www.fabsurplus.com/sdi_catalog/salesItemDetails.do?id=92453")</f>
        <v>https://www.fabsurplus.com/sdi_catalog/salesItemDetails.do?id=92453</v>
      </c>
      <c r="B96" s="2" t="s">
        <v>281</v>
      </c>
      <c r="C96" s="2" t="s">
        <v>163</v>
      </c>
      <c r="D96" s="2" t="s">
        <v>280</v>
      </c>
      <c r="E96" s="2" t="s">
        <v>229</v>
      </c>
      <c r="F96" s="2" t="s">
        <v>16</v>
      </c>
      <c r="G96" s="2"/>
      <c r="H96" s="2"/>
      <c r="I96" s="2"/>
      <c r="J96" s="2" t="s">
        <v>47</v>
      </c>
      <c r="K96" s="2"/>
      <c r="L96" s="2" t="s">
        <v>48</v>
      </c>
    </row>
    <row r="97" customFormat="false" ht="13.35" hidden="false" customHeight="true" outlineLevel="0" collapsed="false">
      <c r="A97" s="5" t="str">
        <f aca="false">HYPERLINK("https://www.fabsurplus.com/sdi_catalog/salesItemDetails.do?id=92457")</f>
        <v>https://www.fabsurplus.com/sdi_catalog/salesItemDetails.do?id=92457</v>
      </c>
      <c r="B97" s="5" t="s">
        <v>282</v>
      </c>
      <c r="C97" s="5" t="s">
        <v>163</v>
      </c>
      <c r="D97" s="5" t="s">
        <v>280</v>
      </c>
      <c r="E97" s="5" t="s">
        <v>229</v>
      </c>
      <c r="F97" s="5" t="s">
        <v>16</v>
      </c>
      <c r="G97" s="5"/>
      <c r="H97" s="5"/>
      <c r="I97" s="5"/>
      <c r="J97" s="5" t="s">
        <v>47</v>
      </c>
      <c r="K97" s="5"/>
      <c r="L97" s="5" t="s">
        <v>48</v>
      </c>
    </row>
    <row r="98" customFormat="false" ht="13.35" hidden="false" customHeight="true" outlineLevel="0" collapsed="false">
      <c r="A98" s="2" t="str">
        <f aca="false">HYPERLINK("https://www.fabsurplus.com/sdi_catalog/salesItemDetails.do?id=86063")</f>
        <v>https://www.fabsurplus.com/sdi_catalog/salesItemDetails.do?id=86063</v>
      </c>
      <c r="B98" s="2" t="s">
        <v>283</v>
      </c>
      <c r="C98" s="2" t="s">
        <v>163</v>
      </c>
      <c r="D98" s="2" t="s">
        <v>284</v>
      </c>
      <c r="E98" s="2" t="s">
        <v>229</v>
      </c>
      <c r="F98" s="2" t="s">
        <v>16</v>
      </c>
      <c r="G98" s="2" t="s">
        <v>190</v>
      </c>
      <c r="H98" s="2" t="s">
        <v>18</v>
      </c>
      <c r="I98" s="2"/>
      <c r="J98" s="2" t="s">
        <v>47</v>
      </c>
      <c r="K98" s="2" t="s">
        <v>20</v>
      </c>
      <c r="L98" s="4" t="s">
        <v>285</v>
      </c>
    </row>
    <row r="99" customFormat="false" ht="13.35" hidden="false" customHeight="true" outlineLevel="0" collapsed="false">
      <c r="A99" s="5" t="str">
        <f aca="false">HYPERLINK("https://www.fabsurplus.com/sdi_catalog/salesItemDetails.do?id=92454")</f>
        <v>https://www.fabsurplus.com/sdi_catalog/salesItemDetails.do?id=92454</v>
      </c>
      <c r="B99" s="5" t="s">
        <v>286</v>
      </c>
      <c r="C99" s="5" t="s">
        <v>163</v>
      </c>
      <c r="D99" s="5" t="s">
        <v>284</v>
      </c>
      <c r="E99" s="5" t="s">
        <v>229</v>
      </c>
      <c r="F99" s="5" t="s">
        <v>16</v>
      </c>
      <c r="G99" s="5"/>
      <c r="H99" s="5"/>
      <c r="I99" s="5"/>
      <c r="J99" s="5" t="s">
        <v>47</v>
      </c>
      <c r="K99" s="5"/>
      <c r="L99" s="5" t="s">
        <v>48</v>
      </c>
    </row>
    <row r="100" customFormat="false" ht="13.35" hidden="false" customHeight="true" outlineLevel="0" collapsed="false">
      <c r="A100" s="5" t="str">
        <f aca="false">HYPERLINK("https://www.fabsurplus.com/sdi_catalog/salesItemDetails.do?id=102069")</f>
        <v>https://www.fabsurplus.com/sdi_catalog/salesItemDetails.do?id=102069</v>
      </c>
      <c r="B100" s="5" t="s">
        <v>287</v>
      </c>
      <c r="C100" s="5" t="s">
        <v>163</v>
      </c>
      <c r="D100" s="5" t="s">
        <v>284</v>
      </c>
      <c r="E100" s="5" t="s">
        <v>288</v>
      </c>
      <c r="F100" s="5" t="s">
        <v>16</v>
      </c>
      <c r="G100" s="5"/>
      <c r="H100" s="5"/>
      <c r="I100" s="5"/>
      <c r="J100" s="5" t="s">
        <v>19</v>
      </c>
      <c r="K100" s="5"/>
      <c r="L100" s="5"/>
    </row>
    <row r="101" customFormat="false" ht="13.35" hidden="false" customHeight="true" outlineLevel="0" collapsed="false">
      <c r="A101" s="2" t="str">
        <f aca="false">HYPERLINK("https://www.fabsurplus.com/sdi_catalog/salesItemDetails.do?id=102070")</f>
        <v>https://www.fabsurplus.com/sdi_catalog/salesItemDetails.do?id=102070</v>
      </c>
      <c r="B101" s="2" t="s">
        <v>289</v>
      </c>
      <c r="C101" s="2" t="s">
        <v>163</v>
      </c>
      <c r="D101" s="2" t="s">
        <v>284</v>
      </c>
      <c r="E101" s="2" t="s">
        <v>288</v>
      </c>
      <c r="F101" s="2" t="s">
        <v>16</v>
      </c>
      <c r="G101" s="2"/>
      <c r="H101" s="2"/>
      <c r="I101" s="2"/>
      <c r="J101" s="2" t="s">
        <v>19</v>
      </c>
      <c r="K101" s="2"/>
      <c r="L101" s="2"/>
    </row>
    <row r="102" customFormat="false" ht="13.35" hidden="false" customHeight="true" outlineLevel="0" collapsed="false">
      <c r="A102" s="2" t="str">
        <f aca="false">HYPERLINK("https://www.fabsurplus.com/sdi_catalog/salesItemDetails.do?id=79035")</f>
        <v>https://www.fabsurplus.com/sdi_catalog/salesItemDetails.do?id=79035</v>
      </c>
      <c r="B102" s="2" t="s">
        <v>290</v>
      </c>
      <c r="C102" s="2" t="s">
        <v>173</v>
      </c>
      <c r="D102" s="2" t="s">
        <v>284</v>
      </c>
      <c r="E102" s="2" t="s">
        <v>239</v>
      </c>
      <c r="F102" s="2" t="s">
        <v>16</v>
      </c>
      <c r="G102" s="2" t="s">
        <v>36</v>
      </c>
      <c r="H102" s="2" t="s">
        <v>18</v>
      </c>
      <c r="I102" s="2"/>
      <c r="J102" s="2" t="s">
        <v>19</v>
      </c>
      <c r="K102" s="2" t="s">
        <v>20</v>
      </c>
      <c r="L102" s="2" t="s">
        <v>198</v>
      </c>
    </row>
    <row r="103" customFormat="false" ht="13.35" hidden="false" customHeight="true" outlineLevel="0" collapsed="false">
      <c r="A103" s="2" t="str">
        <f aca="false">HYPERLINK("https://www.fabsurplus.com/sdi_catalog/salesItemDetails.do?id=88391")</f>
        <v>https://www.fabsurplus.com/sdi_catalog/salesItemDetails.do?id=88391</v>
      </c>
      <c r="B103" s="2" t="s">
        <v>291</v>
      </c>
      <c r="C103" s="2" t="s">
        <v>163</v>
      </c>
      <c r="D103" s="2" t="s">
        <v>292</v>
      </c>
      <c r="E103" s="2" t="s">
        <v>233</v>
      </c>
      <c r="F103" s="2" t="s">
        <v>16</v>
      </c>
      <c r="G103" s="2" t="s">
        <v>181</v>
      </c>
      <c r="H103" s="2"/>
      <c r="I103" s="2"/>
      <c r="J103" s="2" t="s">
        <v>47</v>
      </c>
      <c r="K103" s="2"/>
      <c r="L103" s="4" t="s">
        <v>234</v>
      </c>
    </row>
    <row r="104" customFormat="false" ht="13.35" hidden="false" customHeight="true" outlineLevel="0" collapsed="false">
      <c r="A104" s="2" t="str">
        <f aca="false">HYPERLINK("https://www.fabsurplus.com/sdi_catalog/salesItemDetails.do?id=88392")</f>
        <v>https://www.fabsurplus.com/sdi_catalog/salesItemDetails.do?id=88392</v>
      </c>
      <c r="B104" s="2" t="s">
        <v>293</v>
      </c>
      <c r="C104" s="2" t="s">
        <v>163</v>
      </c>
      <c r="D104" s="2" t="s">
        <v>294</v>
      </c>
      <c r="E104" s="2" t="s">
        <v>233</v>
      </c>
      <c r="F104" s="2" t="s">
        <v>16</v>
      </c>
      <c r="G104" s="2" t="s">
        <v>181</v>
      </c>
      <c r="H104" s="2"/>
      <c r="I104" s="2"/>
      <c r="J104" s="2" t="s">
        <v>47</v>
      </c>
      <c r="K104" s="2"/>
      <c r="L104" s="4" t="s">
        <v>234</v>
      </c>
    </row>
    <row r="105" customFormat="false" ht="13.35" hidden="false" customHeight="true" outlineLevel="0" collapsed="false">
      <c r="A105" s="5" t="str">
        <f aca="false">HYPERLINK("https://www.fabsurplus.com/sdi_catalog/salesItemDetails.do?id=92458")</f>
        <v>https://www.fabsurplus.com/sdi_catalog/salesItemDetails.do?id=92458</v>
      </c>
      <c r="B105" s="5" t="s">
        <v>295</v>
      </c>
      <c r="C105" s="5" t="s">
        <v>163</v>
      </c>
      <c r="D105" s="5" t="s">
        <v>294</v>
      </c>
      <c r="E105" s="5" t="s">
        <v>229</v>
      </c>
      <c r="F105" s="5" t="s">
        <v>16</v>
      </c>
      <c r="G105" s="5"/>
      <c r="H105" s="5"/>
      <c r="I105" s="5"/>
      <c r="J105" s="5" t="s">
        <v>47</v>
      </c>
      <c r="K105" s="5"/>
      <c r="L105" s="5" t="s">
        <v>48</v>
      </c>
    </row>
    <row r="106" customFormat="false" ht="13.35" hidden="false" customHeight="true" outlineLevel="0" collapsed="false">
      <c r="A106" s="2" t="str">
        <f aca="false">HYPERLINK("https://www.fabsurplus.com/sdi_catalog/salesItemDetails.do?id=102508")</f>
        <v>https://www.fabsurplus.com/sdi_catalog/salesItemDetails.do?id=102508</v>
      </c>
      <c r="B106" s="2" t="s">
        <v>296</v>
      </c>
      <c r="C106" s="2" t="s">
        <v>173</v>
      </c>
      <c r="D106" s="2" t="s">
        <v>297</v>
      </c>
      <c r="E106" s="2" t="s">
        <v>298</v>
      </c>
      <c r="F106" s="2" t="s">
        <v>16</v>
      </c>
      <c r="G106" s="2" t="s">
        <v>154</v>
      </c>
      <c r="H106" s="2"/>
      <c r="I106" s="2"/>
      <c r="J106" s="2" t="s">
        <v>47</v>
      </c>
      <c r="K106" s="2"/>
      <c r="L106" s="2"/>
    </row>
    <row r="107" customFormat="false" ht="13.35" hidden="false" customHeight="true" outlineLevel="0" collapsed="false">
      <c r="A107" s="5" t="str">
        <f aca="false">HYPERLINK("https://www.fabsurplus.com/sdi_catalog/salesItemDetails.do?id=88393")</f>
        <v>https://www.fabsurplus.com/sdi_catalog/salesItemDetails.do?id=88393</v>
      </c>
      <c r="B107" s="5" t="s">
        <v>299</v>
      </c>
      <c r="C107" s="5" t="s">
        <v>163</v>
      </c>
      <c r="D107" s="5" t="s">
        <v>300</v>
      </c>
      <c r="E107" s="5" t="s">
        <v>233</v>
      </c>
      <c r="F107" s="5" t="s">
        <v>16</v>
      </c>
      <c r="G107" s="5" t="s">
        <v>181</v>
      </c>
      <c r="H107" s="5"/>
      <c r="I107" s="5"/>
      <c r="J107" s="5" t="s">
        <v>47</v>
      </c>
      <c r="K107" s="5"/>
      <c r="L107" s="7" t="s">
        <v>234</v>
      </c>
    </row>
    <row r="108" customFormat="false" ht="13.35" hidden="false" customHeight="true" outlineLevel="0" collapsed="false">
      <c r="A108" s="5" t="str">
        <f aca="false">HYPERLINK("https://www.fabsurplus.com/sdi_catalog/salesItemDetails.do?id=92455")</f>
        <v>https://www.fabsurplus.com/sdi_catalog/salesItemDetails.do?id=92455</v>
      </c>
      <c r="B108" s="5" t="s">
        <v>301</v>
      </c>
      <c r="C108" s="5" t="s">
        <v>163</v>
      </c>
      <c r="D108" s="5" t="s">
        <v>300</v>
      </c>
      <c r="E108" s="5" t="s">
        <v>229</v>
      </c>
      <c r="F108" s="5" t="s">
        <v>16</v>
      </c>
      <c r="G108" s="5"/>
      <c r="H108" s="5"/>
      <c r="I108" s="5"/>
      <c r="J108" s="5" t="s">
        <v>47</v>
      </c>
      <c r="K108" s="5"/>
      <c r="L108" s="5" t="s">
        <v>48</v>
      </c>
    </row>
    <row r="109" customFormat="false" ht="13.35" hidden="false" customHeight="true" outlineLevel="0" collapsed="false">
      <c r="A109" s="5" t="str">
        <f aca="false">HYPERLINK("https://www.fabsurplus.com/sdi_catalog/salesItemDetails.do?id=102071")</f>
        <v>https://www.fabsurplus.com/sdi_catalog/salesItemDetails.do?id=102071</v>
      </c>
      <c r="B109" s="5" t="s">
        <v>302</v>
      </c>
      <c r="C109" s="5" t="s">
        <v>163</v>
      </c>
      <c r="D109" s="5" t="s">
        <v>303</v>
      </c>
      <c r="E109" s="5" t="s">
        <v>181</v>
      </c>
      <c r="F109" s="5" t="s">
        <v>16</v>
      </c>
      <c r="G109" s="5"/>
      <c r="H109" s="5"/>
      <c r="I109" s="6" t="n">
        <v>38139</v>
      </c>
      <c r="J109" s="5" t="s">
        <v>19</v>
      </c>
      <c r="K109" s="5"/>
      <c r="L109" s="5"/>
    </row>
    <row r="110" customFormat="false" ht="13.35" hidden="false" customHeight="true" outlineLevel="0" collapsed="false">
      <c r="A110" s="2" t="str">
        <f aca="false">HYPERLINK("https://www.fabsurplus.com/sdi_catalog/salesItemDetails.do?id=92456")</f>
        <v>https://www.fabsurplus.com/sdi_catalog/salesItemDetails.do?id=92456</v>
      </c>
      <c r="B110" s="2" t="s">
        <v>304</v>
      </c>
      <c r="C110" s="2" t="s">
        <v>163</v>
      </c>
      <c r="D110" s="2" t="s">
        <v>305</v>
      </c>
      <c r="E110" s="2" t="s">
        <v>306</v>
      </c>
      <c r="F110" s="2" t="s">
        <v>16</v>
      </c>
      <c r="G110" s="2"/>
      <c r="H110" s="2"/>
      <c r="I110" s="2"/>
      <c r="J110" s="2" t="s">
        <v>47</v>
      </c>
      <c r="K110" s="2"/>
      <c r="L110" s="2" t="s">
        <v>48</v>
      </c>
    </row>
    <row r="111" customFormat="false" ht="13.35" hidden="false" customHeight="true" outlineLevel="0" collapsed="false">
      <c r="A111" s="2" t="str">
        <f aca="false">HYPERLINK("https://www.fabsurplus.com/sdi_catalog/salesItemDetails.do?id=92448")</f>
        <v>https://www.fabsurplus.com/sdi_catalog/salesItemDetails.do?id=92448</v>
      </c>
      <c r="B111" s="2" t="s">
        <v>307</v>
      </c>
      <c r="C111" s="2" t="s">
        <v>163</v>
      </c>
      <c r="D111" s="2" t="s">
        <v>308</v>
      </c>
      <c r="E111" s="2" t="s">
        <v>229</v>
      </c>
      <c r="F111" s="2" t="s">
        <v>16</v>
      </c>
      <c r="G111" s="2"/>
      <c r="H111" s="2"/>
      <c r="I111" s="2"/>
      <c r="J111" s="2" t="s">
        <v>47</v>
      </c>
      <c r="K111" s="2"/>
      <c r="L111" s="2" t="s">
        <v>48</v>
      </c>
    </row>
    <row r="112" customFormat="false" ht="13.35" hidden="false" customHeight="true" outlineLevel="0" collapsed="false">
      <c r="A112" s="2" t="str">
        <f aca="false">HYPERLINK("https://www.fabsurplus.com/sdi_catalog/salesItemDetails.do?id=88395")</f>
        <v>https://www.fabsurplus.com/sdi_catalog/salesItemDetails.do?id=88395</v>
      </c>
      <c r="B112" s="2" t="s">
        <v>309</v>
      </c>
      <c r="C112" s="2" t="s">
        <v>163</v>
      </c>
      <c r="D112" s="2" t="s">
        <v>310</v>
      </c>
      <c r="E112" s="2" t="s">
        <v>233</v>
      </c>
      <c r="F112" s="2" t="s">
        <v>16</v>
      </c>
      <c r="G112" s="2" t="s">
        <v>181</v>
      </c>
      <c r="H112" s="2"/>
      <c r="I112" s="2"/>
      <c r="J112" s="2" t="s">
        <v>47</v>
      </c>
      <c r="K112" s="2"/>
      <c r="L112" s="4" t="s">
        <v>234</v>
      </c>
    </row>
    <row r="113" customFormat="false" ht="13.35" hidden="false" customHeight="true" outlineLevel="0" collapsed="false">
      <c r="A113" s="5" t="str">
        <f aca="false">HYPERLINK("https://www.fabsurplus.com/sdi_catalog/salesItemDetails.do?id=102072")</f>
        <v>https://www.fabsurplus.com/sdi_catalog/salesItemDetails.do?id=102072</v>
      </c>
      <c r="B113" s="5" t="s">
        <v>311</v>
      </c>
      <c r="C113" s="5" t="s">
        <v>163</v>
      </c>
      <c r="D113" s="5" t="s">
        <v>312</v>
      </c>
      <c r="E113" s="5" t="s">
        <v>169</v>
      </c>
      <c r="F113" s="5" t="s">
        <v>16</v>
      </c>
      <c r="G113" s="5" t="s">
        <v>17</v>
      </c>
      <c r="H113" s="5"/>
      <c r="I113" s="6" t="n">
        <v>37043</v>
      </c>
      <c r="J113" s="5" t="s">
        <v>19</v>
      </c>
      <c r="K113" s="5"/>
      <c r="L113" s="5"/>
    </row>
    <row r="114" customFormat="false" ht="13.35" hidden="false" customHeight="true" outlineLevel="0" collapsed="false">
      <c r="A114" s="2" t="str">
        <f aca="false">HYPERLINK("https://www.fabsurplus.com/sdi_catalog/salesItemDetails.do?id=99380")</f>
        <v>https://www.fabsurplus.com/sdi_catalog/salesItemDetails.do?id=99380</v>
      </c>
      <c r="B114" s="2" t="s">
        <v>313</v>
      </c>
      <c r="C114" s="2" t="s">
        <v>173</v>
      </c>
      <c r="D114" s="2" t="s">
        <v>314</v>
      </c>
      <c r="E114" s="2" t="s">
        <v>233</v>
      </c>
      <c r="F114" s="2" t="s">
        <v>16</v>
      </c>
      <c r="G114" s="2" t="s">
        <v>181</v>
      </c>
      <c r="H114" s="2" t="s">
        <v>18</v>
      </c>
      <c r="I114" s="2"/>
      <c r="J114" s="2" t="s">
        <v>19</v>
      </c>
      <c r="K114" s="2" t="s">
        <v>20</v>
      </c>
      <c r="L114" s="4" t="s">
        <v>315</v>
      </c>
    </row>
    <row r="115" customFormat="false" ht="13.35" hidden="false" customHeight="true" outlineLevel="0" collapsed="false">
      <c r="A115" s="2" t="str">
        <f aca="false">HYPERLINK("https://www.fabsurplus.com/sdi_catalog/salesItemDetails.do?id=102566")</f>
        <v>https://www.fabsurplus.com/sdi_catalog/salesItemDetails.do?id=102566</v>
      </c>
      <c r="B115" s="2" t="s">
        <v>316</v>
      </c>
      <c r="C115" s="2" t="s">
        <v>163</v>
      </c>
      <c r="D115" s="2" t="s">
        <v>317</v>
      </c>
      <c r="E115" s="2" t="s">
        <v>169</v>
      </c>
      <c r="F115" s="2" t="s">
        <v>125</v>
      </c>
      <c r="G115" s="2" t="s">
        <v>181</v>
      </c>
      <c r="H115" s="2"/>
      <c r="I115" s="2"/>
      <c r="J115" s="2" t="s">
        <v>47</v>
      </c>
      <c r="K115" s="2"/>
      <c r="L115" s="2"/>
    </row>
    <row r="116" customFormat="false" ht="13.35" hidden="false" customHeight="true" outlineLevel="0" collapsed="false">
      <c r="A116" s="5" t="str">
        <f aca="false">HYPERLINK("https://www.fabsurplus.com/sdi_catalog/salesItemDetails.do?id=94433")</f>
        <v>https://www.fabsurplus.com/sdi_catalog/salesItemDetails.do?id=94433</v>
      </c>
      <c r="B116" s="5" t="s">
        <v>318</v>
      </c>
      <c r="C116" s="5" t="s">
        <v>173</v>
      </c>
      <c r="D116" s="5" t="s">
        <v>319</v>
      </c>
      <c r="E116" s="5" t="s">
        <v>169</v>
      </c>
      <c r="F116" s="5" t="s">
        <v>16</v>
      </c>
      <c r="G116" s="5"/>
      <c r="H116" s="5"/>
      <c r="I116" s="5"/>
      <c r="J116" s="5" t="s">
        <v>19</v>
      </c>
      <c r="K116" s="5"/>
      <c r="L116" s="5"/>
    </row>
    <row r="117" customFormat="false" ht="13.35" hidden="false" customHeight="true" outlineLevel="0" collapsed="false">
      <c r="A117" s="5" t="str">
        <f aca="false">HYPERLINK("https://www.fabsurplus.com/sdi_catalog/salesItemDetails.do?id=101694")</f>
        <v>https://www.fabsurplus.com/sdi_catalog/salesItemDetails.do?id=101694</v>
      </c>
      <c r="B117" s="5" t="s">
        <v>320</v>
      </c>
      <c r="C117" s="5" t="s">
        <v>173</v>
      </c>
      <c r="D117" s="5" t="s">
        <v>321</v>
      </c>
      <c r="E117" s="5" t="s">
        <v>322</v>
      </c>
      <c r="F117" s="5" t="s">
        <v>323</v>
      </c>
      <c r="G117" s="5" t="s">
        <v>154</v>
      </c>
      <c r="H117" s="5" t="s">
        <v>26</v>
      </c>
      <c r="I117" s="5"/>
      <c r="J117" s="5" t="s">
        <v>47</v>
      </c>
      <c r="K117" s="5" t="s">
        <v>20</v>
      </c>
      <c r="L117" s="7" t="s">
        <v>324</v>
      </c>
    </row>
    <row r="118" customFormat="false" ht="13.35" hidden="false" customHeight="true" outlineLevel="0" collapsed="false">
      <c r="A118" s="5" t="str">
        <f aca="false">HYPERLINK("https://www.fabsurplus.com/sdi_catalog/salesItemDetails.do?id=99379")</f>
        <v>https://www.fabsurplus.com/sdi_catalog/salesItemDetails.do?id=99379</v>
      </c>
      <c r="B118" s="5" t="s">
        <v>325</v>
      </c>
      <c r="C118" s="5" t="s">
        <v>326</v>
      </c>
      <c r="D118" s="5" t="s">
        <v>327</v>
      </c>
      <c r="E118" s="5" t="s">
        <v>233</v>
      </c>
      <c r="F118" s="5" t="s">
        <v>16</v>
      </c>
      <c r="G118" s="5" t="s">
        <v>181</v>
      </c>
      <c r="H118" s="5" t="s">
        <v>18</v>
      </c>
      <c r="I118" s="5"/>
      <c r="J118" s="5" t="s">
        <v>19</v>
      </c>
      <c r="K118" s="5" t="s">
        <v>20</v>
      </c>
      <c r="L118" s="7" t="s">
        <v>328</v>
      </c>
    </row>
    <row r="119" customFormat="false" ht="13.35" hidden="false" customHeight="true" outlineLevel="0" collapsed="false">
      <c r="A119" s="2" t="str">
        <f aca="false">HYPERLINK("https://www.fabsurplus.com/sdi_catalog/salesItemDetails.do?id=98547")</f>
        <v>https://www.fabsurplus.com/sdi_catalog/salesItemDetails.do?id=98547</v>
      </c>
      <c r="B119" s="2" t="s">
        <v>329</v>
      </c>
      <c r="C119" s="2" t="s">
        <v>330</v>
      </c>
      <c r="D119" s="2" t="s">
        <v>194</v>
      </c>
      <c r="E119" s="2" t="s">
        <v>331</v>
      </c>
      <c r="F119" s="2" t="s">
        <v>125</v>
      </c>
      <c r="G119" s="2" t="s">
        <v>240</v>
      </c>
      <c r="H119" s="2" t="s">
        <v>18</v>
      </c>
      <c r="I119" s="2"/>
      <c r="J119" s="2" t="s">
        <v>19</v>
      </c>
      <c r="K119" s="2" t="s">
        <v>20</v>
      </c>
      <c r="L119" s="4" t="s">
        <v>332</v>
      </c>
    </row>
    <row r="120" customFormat="false" ht="13.35" hidden="false" customHeight="true" outlineLevel="0" collapsed="false">
      <c r="A120" s="5" t="str">
        <f aca="false">HYPERLINK("https://www.fabsurplus.com/sdi_catalog/salesItemDetails.do?id=100994")</f>
        <v>https://www.fabsurplus.com/sdi_catalog/salesItemDetails.do?id=100994</v>
      </c>
      <c r="B120" s="5" t="s">
        <v>333</v>
      </c>
      <c r="C120" s="5" t="s">
        <v>334</v>
      </c>
      <c r="D120" s="5" t="s">
        <v>321</v>
      </c>
      <c r="E120" s="5" t="s">
        <v>335</v>
      </c>
      <c r="F120" s="5" t="s">
        <v>336</v>
      </c>
      <c r="G120" s="5" t="s">
        <v>181</v>
      </c>
      <c r="H120" s="5" t="s">
        <v>26</v>
      </c>
      <c r="I120" s="5"/>
      <c r="J120" s="5" t="s">
        <v>19</v>
      </c>
      <c r="K120" s="5" t="s">
        <v>20</v>
      </c>
      <c r="L120" s="7" t="s">
        <v>337</v>
      </c>
    </row>
    <row r="121" customFormat="false" ht="13.35" hidden="false" customHeight="true" outlineLevel="0" collapsed="false">
      <c r="A121" s="5" t="str">
        <f aca="false">HYPERLINK("https://www.fabsurplus.com/sdi_catalog/salesItemDetails.do?id=87935")</f>
        <v>https://www.fabsurplus.com/sdi_catalog/salesItemDetails.do?id=87935</v>
      </c>
      <c r="B121" s="5" t="s">
        <v>338</v>
      </c>
      <c r="C121" s="5" t="s">
        <v>339</v>
      </c>
      <c r="D121" s="5" t="s">
        <v>340</v>
      </c>
      <c r="E121" s="5" t="s">
        <v>87</v>
      </c>
      <c r="F121" s="5" t="s">
        <v>341</v>
      </c>
      <c r="G121" s="5" t="s">
        <v>88</v>
      </c>
      <c r="H121" s="5"/>
      <c r="I121" s="5"/>
      <c r="J121" s="5" t="s">
        <v>19</v>
      </c>
      <c r="K121" s="5"/>
      <c r="L121" s="5" t="s">
        <v>89</v>
      </c>
    </row>
    <row r="122" customFormat="false" ht="13.35" hidden="false" customHeight="true" outlineLevel="0" collapsed="false">
      <c r="A122" s="5" t="str">
        <f aca="false">HYPERLINK("https://www.fabsurplus.com/sdi_catalog/salesItemDetails.do?id=87936")</f>
        <v>https://www.fabsurplus.com/sdi_catalog/salesItemDetails.do?id=87936</v>
      </c>
      <c r="B122" s="5" t="s">
        <v>342</v>
      </c>
      <c r="C122" s="5" t="s">
        <v>339</v>
      </c>
      <c r="D122" s="5" t="s">
        <v>343</v>
      </c>
      <c r="E122" s="5" t="s">
        <v>87</v>
      </c>
      <c r="F122" s="5" t="s">
        <v>344</v>
      </c>
      <c r="G122" s="5" t="s">
        <v>88</v>
      </c>
      <c r="H122" s="5"/>
      <c r="I122" s="5"/>
      <c r="J122" s="5" t="s">
        <v>19</v>
      </c>
      <c r="K122" s="5"/>
      <c r="L122" s="5" t="s">
        <v>89</v>
      </c>
    </row>
    <row r="123" customFormat="false" ht="13.35" hidden="false" customHeight="true" outlineLevel="0" collapsed="false">
      <c r="A123" s="5" t="str">
        <f aca="false">HYPERLINK("https://www.fabsurplus.com/sdi_catalog/salesItemDetails.do?id=87937")</f>
        <v>https://www.fabsurplus.com/sdi_catalog/salesItemDetails.do?id=87937</v>
      </c>
      <c r="B123" s="5" t="s">
        <v>345</v>
      </c>
      <c r="C123" s="5" t="s">
        <v>339</v>
      </c>
      <c r="D123" s="5" t="s">
        <v>346</v>
      </c>
      <c r="E123" s="5" t="s">
        <v>87</v>
      </c>
      <c r="F123" s="5" t="s">
        <v>58</v>
      </c>
      <c r="G123" s="5" t="s">
        <v>88</v>
      </c>
      <c r="H123" s="5"/>
      <c r="I123" s="5"/>
      <c r="J123" s="5" t="s">
        <v>19</v>
      </c>
      <c r="K123" s="5"/>
      <c r="L123" s="5" t="s">
        <v>89</v>
      </c>
    </row>
    <row r="124" customFormat="false" ht="13.35" hidden="false" customHeight="true" outlineLevel="0" collapsed="false">
      <c r="A124" s="5" t="str">
        <f aca="false">HYPERLINK("https://www.fabsurplus.com/sdi_catalog/salesItemDetails.do?id=87938")</f>
        <v>https://www.fabsurplus.com/sdi_catalog/salesItemDetails.do?id=87938</v>
      </c>
      <c r="B124" s="5" t="s">
        <v>347</v>
      </c>
      <c r="C124" s="5" t="s">
        <v>339</v>
      </c>
      <c r="D124" s="5" t="s">
        <v>348</v>
      </c>
      <c r="E124" s="5" t="s">
        <v>87</v>
      </c>
      <c r="F124" s="5" t="s">
        <v>16</v>
      </c>
      <c r="G124" s="5" t="s">
        <v>88</v>
      </c>
      <c r="H124" s="5"/>
      <c r="I124" s="5"/>
      <c r="J124" s="5" t="s">
        <v>19</v>
      </c>
      <c r="K124" s="5"/>
      <c r="L124" s="5" t="s">
        <v>89</v>
      </c>
    </row>
    <row r="125" customFormat="false" ht="13.35" hidden="false" customHeight="true" outlineLevel="0" collapsed="false">
      <c r="A125" s="5" t="str">
        <f aca="false">HYPERLINK("https://www.fabsurplus.com/sdi_catalog/salesItemDetails.do?id=87939")</f>
        <v>https://www.fabsurplus.com/sdi_catalog/salesItemDetails.do?id=87939</v>
      </c>
      <c r="B125" s="5" t="s">
        <v>349</v>
      </c>
      <c r="C125" s="5" t="s">
        <v>339</v>
      </c>
      <c r="D125" s="5" t="s">
        <v>350</v>
      </c>
      <c r="E125" s="5" t="s">
        <v>87</v>
      </c>
      <c r="F125" s="5" t="s">
        <v>351</v>
      </c>
      <c r="G125" s="5" t="s">
        <v>88</v>
      </c>
      <c r="H125" s="5"/>
      <c r="I125" s="5"/>
      <c r="J125" s="5" t="s">
        <v>19</v>
      </c>
      <c r="K125" s="5"/>
      <c r="L125" s="5" t="s">
        <v>89</v>
      </c>
    </row>
    <row r="126" customFormat="false" ht="13.35" hidden="false" customHeight="true" outlineLevel="0" collapsed="false">
      <c r="A126" s="5" t="str">
        <f aca="false">HYPERLINK("https://www.fabsurplus.com/sdi_catalog/salesItemDetails.do?id=87940")</f>
        <v>https://www.fabsurplus.com/sdi_catalog/salesItemDetails.do?id=87940</v>
      </c>
      <c r="B126" s="5" t="s">
        <v>352</v>
      </c>
      <c r="C126" s="5" t="s">
        <v>339</v>
      </c>
      <c r="D126" s="5" t="s">
        <v>353</v>
      </c>
      <c r="E126" s="5" t="s">
        <v>87</v>
      </c>
      <c r="F126" s="5" t="s">
        <v>137</v>
      </c>
      <c r="G126" s="5" t="s">
        <v>88</v>
      </c>
      <c r="H126" s="5"/>
      <c r="I126" s="5"/>
      <c r="J126" s="5" t="s">
        <v>19</v>
      </c>
      <c r="K126" s="5"/>
      <c r="L126" s="5" t="s">
        <v>89</v>
      </c>
    </row>
    <row r="127" customFormat="false" ht="13.35" hidden="false" customHeight="true" outlineLevel="0" collapsed="false">
      <c r="A127" s="5" t="str">
        <f aca="false">HYPERLINK("https://www.fabsurplus.com/sdi_catalog/salesItemDetails.do?id=87941")</f>
        <v>https://www.fabsurplus.com/sdi_catalog/salesItemDetails.do?id=87941</v>
      </c>
      <c r="B127" s="5" t="s">
        <v>354</v>
      </c>
      <c r="C127" s="5" t="s">
        <v>339</v>
      </c>
      <c r="D127" s="5" t="s">
        <v>355</v>
      </c>
      <c r="E127" s="5" t="s">
        <v>87</v>
      </c>
      <c r="F127" s="5" t="s">
        <v>16</v>
      </c>
      <c r="G127" s="5" t="s">
        <v>88</v>
      </c>
      <c r="H127" s="5"/>
      <c r="I127" s="5"/>
      <c r="J127" s="5" t="s">
        <v>19</v>
      </c>
      <c r="K127" s="5"/>
      <c r="L127" s="5" t="s">
        <v>89</v>
      </c>
    </row>
    <row r="128" customFormat="false" ht="13.35" hidden="false" customHeight="true" outlineLevel="0" collapsed="false">
      <c r="A128" s="2" t="str">
        <f aca="false">HYPERLINK("https://www.fabsurplus.com/sdi_catalog/salesItemDetails.do?id=87942")</f>
        <v>https://www.fabsurplus.com/sdi_catalog/salesItemDetails.do?id=87942</v>
      </c>
      <c r="B128" s="2" t="s">
        <v>356</v>
      </c>
      <c r="C128" s="2" t="s">
        <v>339</v>
      </c>
      <c r="D128" s="2" t="s">
        <v>357</v>
      </c>
      <c r="E128" s="2" t="s">
        <v>87</v>
      </c>
      <c r="F128" s="2" t="s">
        <v>16</v>
      </c>
      <c r="G128" s="2" t="s">
        <v>88</v>
      </c>
      <c r="H128" s="2"/>
      <c r="I128" s="2"/>
      <c r="J128" s="2" t="s">
        <v>19</v>
      </c>
      <c r="K128" s="2"/>
      <c r="L128" s="2" t="s">
        <v>89</v>
      </c>
    </row>
    <row r="129" customFormat="false" ht="13.35" hidden="false" customHeight="true" outlineLevel="0" collapsed="false">
      <c r="A129" s="5" t="str">
        <f aca="false">HYPERLINK("https://www.fabsurplus.com/sdi_catalog/salesItemDetails.do?id=87943")</f>
        <v>https://www.fabsurplus.com/sdi_catalog/salesItemDetails.do?id=87943</v>
      </c>
      <c r="B129" s="5" t="s">
        <v>358</v>
      </c>
      <c r="C129" s="5" t="s">
        <v>339</v>
      </c>
      <c r="D129" s="5" t="s">
        <v>359</v>
      </c>
      <c r="E129" s="5" t="s">
        <v>87</v>
      </c>
      <c r="F129" s="5" t="s">
        <v>16</v>
      </c>
      <c r="G129" s="5" t="s">
        <v>88</v>
      </c>
      <c r="H129" s="5"/>
      <c r="I129" s="5"/>
      <c r="J129" s="5" t="s">
        <v>19</v>
      </c>
      <c r="K129" s="5"/>
      <c r="L129" s="5" t="s">
        <v>89</v>
      </c>
    </row>
    <row r="130" customFormat="false" ht="13.35" hidden="false" customHeight="true" outlineLevel="0" collapsed="false">
      <c r="A130" s="5" t="str">
        <f aca="false">HYPERLINK("https://www.fabsurplus.com/sdi_catalog/salesItemDetails.do?id=87944")</f>
        <v>https://www.fabsurplus.com/sdi_catalog/salesItemDetails.do?id=87944</v>
      </c>
      <c r="B130" s="5" t="s">
        <v>360</v>
      </c>
      <c r="C130" s="5" t="s">
        <v>339</v>
      </c>
      <c r="D130" s="5" t="s">
        <v>361</v>
      </c>
      <c r="E130" s="5" t="s">
        <v>87</v>
      </c>
      <c r="F130" s="5" t="s">
        <v>125</v>
      </c>
      <c r="G130" s="5" t="s">
        <v>88</v>
      </c>
      <c r="H130" s="5"/>
      <c r="I130" s="5"/>
      <c r="J130" s="5" t="s">
        <v>19</v>
      </c>
      <c r="K130" s="5"/>
      <c r="L130" s="5" t="s">
        <v>89</v>
      </c>
    </row>
    <row r="131" customFormat="false" ht="13.35" hidden="false" customHeight="true" outlineLevel="0" collapsed="false">
      <c r="A131" s="2" t="str">
        <f aca="false">HYPERLINK("https://www.fabsurplus.com/sdi_catalog/salesItemDetails.do?id=87945")</f>
        <v>https://www.fabsurplus.com/sdi_catalog/salesItemDetails.do?id=87945</v>
      </c>
      <c r="B131" s="2" t="s">
        <v>362</v>
      </c>
      <c r="C131" s="2" t="s">
        <v>339</v>
      </c>
      <c r="D131" s="2" t="s">
        <v>363</v>
      </c>
      <c r="E131" s="2" t="s">
        <v>87</v>
      </c>
      <c r="F131" s="2" t="s">
        <v>58</v>
      </c>
      <c r="G131" s="2" t="s">
        <v>88</v>
      </c>
      <c r="H131" s="2"/>
      <c r="I131" s="2"/>
      <c r="J131" s="2" t="s">
        <v>19</v>
      </c>
      <c r="K131" s="2"/>
      <c r="L131" s="2" t="s">
        <v>89</v>
      </c>
    </row>
    <row r="132" customFormat="false" ht="13.35" hidden="false" customHeight="true" outlineLevel="0" collapsed="false">
      <c r="A132" s="2" t="str">
        <f aca="false">HYPERLINK("https://www.fabsurplus.com/sdi_catalog/salesItemDetails.do?id=87946")</f>
        <v>https://www.fabsurplus.com/sdi_catalog/salesItemDetails.do?id=87946</v>
      </c>
      <c r="B132" s="2" t="s">
        <v>364</v>
      </c>
      <c r="C132" s="2" t="s">
        <v>339</v>
      </c>
      <c r="D132" s="2" t="s">
        <v>365</v>
      </c>
      <c r="E132" s="2" t="s">
        <v>87</v>
      </c>
      <c r="F132" s="2" t="s">
        <v>366</v>
      </c>
      <c r="G132" s="2" t="s">
        <v>88</v>
      </c>
      <c r="H132" s="2"/>
      <c r="I132" s="2"/>
      <c r="J132" s="2" t="s">
        <v>19</v>
      </c>
      <c r="K132" s="2"/>
      <c r="L132" s="2" t="s">
        <v>89</v>
      </c>
    </row>
    <row r="133" customFormat="false" ht="13.35" hidden="false" customHeight="true" outlineLevel="0" collapsed="false">
      <c r="A133" s="5" t="str">
        <f aca="false">HYPERLINK("https://www.fabsurplus.com/sdi_catalog/salesItemDetails.do?id=87947")</f>
        <v>https://www.fabsurplus.com/sdi_catalog/salesItemDetails.do?id=87947</v>
      </c>
      <c r="B133" s="5" t="s">
        <v>367</v>
      </c>
      <c r="C133" s="5" t="s">
        <v>339</v>
      </c>
      <c r="D133" s="5" t="s">
        <v>368</v>
      </c>
      <c r="E133" s="5" t="s">
        <v>87</v>
      </c>
      <c r="F133" s="5" t="s">
        <v>344</v>
      </c>
      <c r="G133" s="5" t="s">
        <v>88</v>
      </c>
      <c r="H133" s="5"/>
      <c r="I133" s="5"/>
      <c r="J133" s="5" t="s">
        <v>19</v>
      </c>
      <c r="K133" s="5"/>
      <c r="L133" s="5" t="s">
        <v>89</v>
      </c>
    </row>
    <row r="134" customFormat="false" ht="13.35" hidden="false" customHeight="true" outlineLevel="0" collapsed="false">
      <c r="A134" s="2" t="str">
        <f aca="false">HYPERLINK("https://www.fabsurplus.com/sdi_catalog/salesItemDetails.do?id=87949")</f>
        <v>https://www.fabsurplus.com/sdi_catalog/salesItemDetails.do?id=87949</v>
      </c>
      <c r="B134" s="2" t="s">
        <v>369</v>
      </c>
      <c r="C134" s="2" t="s">
        <v>339</v>
      </c>
      <c r="D134" s="2" t="s">
        <v>370</v>
      </c>
      <c r="E134" s="2" t="s">
        <v>87</v>
      </c>
      <c r="F134" s="2" t="s">
        <v>16</v>
      </c>
      <c r="G134" s="2" t="s">
        <v>88</v>
      </c>
      <c r="H134" s="2"/>
      <c r="I134" s="2"/>
      <c r="J134" s="2" t="s">
        <v>19</v>
      </c>
      <c r="K134" s="2"/>
      <c r="L134" s="2" t="s">
        <v>89</v>
      </c>
    </row>
    <row r="135" customFormat="false" ht="13.35" hidden="false" customHeight="true" outlineLevel="0" collapsed="false">
      <c r="A135" s="2" t="str">
        <f aca="false">HYPERLINK("https://www.fabsurplus.com/sdi_catalog/salesItemDetails.do?id=87950")</f>
        <v>https://www.fabsurplus.com/sdi_catalog/salesItemDetails.do?id=87950</v>
      </c>
      <c r="B135" s="2" t="s">
        <v>371</v>
      </c>
      <c r="C135" s="2" t="s">
        <v>372</v>
      </c>
      <c r="D135" s="2" t="s">
        <v>373</v>
      </c>
      <c r="E135" s="2" t="s">
        <v>87</v>
      </c>
      <c r="F135" s="2" t="s">
        <v>16</v>
      </c>
      <c r="G135" s="2" t="s">
        <v>88</v>
      </c>
      <c r="H135" s="2"/>
      <c r="I135" s="2"/>
      <c r="J135" s="2" t="s">
        <v>19</v>
      </c>
      <c r="K135" s="2"/>
      <c r="L135" s="2" t="s">
        <v>89</v>
      </c>
    </row>
    <row r="136" customFormat="false" ht="13.35" hidden="false" customHeight="true" outlineLevel="0" collapsed="false">
      <c r="A136" s="5" t="str">
        <f aca="false">HYPERLINK("https://www.fabsurplus.com/sdi_catalog/salesItemDetails.do?id=87951")</f>
        <v>https://www.fabsurplus.com/sdi_catalog/salesItemDetails.do?id=87951</v>
      </c>
      <c r="B136" s="5" t="s">
        <v>374</v>
      </c>
      <c r="C136" s="5" t="s">
        <v>372</v>
      </c>
      <c r="D136" s="5" t="s">
        <v>340</v>
      </c>
      <c r="E136" s="5" t="s">
        <v>87</v>
      </c>
      <c r="F136" s="5" t="s">
        <v>16</v>
      </c>
      <c r="G136" s="5" t="s">
        <v>88</v>
      </c>
      <c r="H136" s="5"/>
      <c r="I136" s="5"/>
      <c r="J136" s="5" t="s">
        <v>19</v>
      </c>
      <c r="K136" s="5"/>
      <c r="L136" s="5" t="s">
        <v>89</v>
      </c>
    </row>
    <row r="137" customFormat="false" ht="13.35" hidden="false" customHeight="true" outlineLevel="0" collapsed="false">
      <c r="A137" s="2" t="str">
        <f aca="false">HYPERLINK("https://www.fabsurplus.com/sdi_catalog/salesItemDetails.do?id=87952")</f>
        <v>https://www.fabsurplus.com/sdi_catalog/salesItemDetails.do?id=87952</v>
      </c>
      <c r="B137" s="2" t="s">
        <v>375</v>
      </c>
      <c r="C137" s="2" t="s">
        <v>372</v>
      </c>
      <c r="D137" s="2" t="s">
        <v>376</v>
      </c>
      <c r="E137" s="2" t="s">
        <v>87</v>
      </c>
      <c r="F137" s="2" t="s">
        <v>125</v>
      </c>
      <c r="G137" s="2" t="s">
        <v>88</v>
      </c>
      <c r="H137" s="2"/>
      <c r="I137" s="2"/>
      <c r="J137" s="2" t="s">
        <v>19</v>
      </c>
      <c r="K137" s="2"/>
      <c r="L137" s="2" t="s">
        <v>89</v>
      </c>
    </row>
    <row r="138" customFormat="false" ht="13.35" hidden="false" customHeight="true" outlineLevel="0" collapsed="false">
      <c r="A138" s="5" t="str">
        <f aca="false">HYPERLINK("https://www.fabsurplus.com/sdi_catalog/salesItemDetails.do?id=87953")</f>
        <v>https://www.fabsurplus.com/sdi_catalog/salesItemDetails.do?id=87953</v>
      </c>
      <c r="B138" s="5" t="s">
        <v>377</v>
      </c>
      <c r="C138" s="5" t="s">
        <v>372</v>
      </c>
      <c r="D138" s="5" t="s">
        <v>378</v>
      </c>
      <c r="E138" s="5" t="s">
        <v>87</v>
      </c>
      <c r="F138" s="5" t="s">
        <v>16</v>
      </c>
      <c r="G138" s="5" t="s">
        <v>88</v>
      </c>
      <c r="H138" s="5"/>
      <c r="I138" s="5"/>
      <c r="J138" s="5" t="s">
        <v>19</v>
      </c>
      <c r="K138" s="5"/>
      <c r="L138" s="5" t="s">
        <v>89</v>
      </c>
    </row>
    <row r="139" customFormat="false" ht="13.35" hidden="false" customHeight="true" outlineLevel="0" collapsed="false">
      <c r="A139" s="2" t="str">
        <f aca="false">HYPERLINK("https://www.fabsurplus.com/sdi_catalog/salesItemDetails.do?id=87954")</f>
        <v>https://www.fabsurplus.com/sdi_catalog/salesItemDetails.do?id=87954</v>
      </c>
      <c r="B139" s="2" t="s">
        <v>379</v>
      </c>
      <c r="C139" s="2" t="s">
        <v>372</v>
      </c>
      <c r="D139" s="2" t="s">
        <v>380</v>
      </c>
      <c r="E139" s="2" t="s">
        <v>87</v>
      </c>
      <c r="F139" s="2" t="s">
        <v>58</v>
      </c>
      <c r="G139" s="2" t="s">
        <v>88</v>
      </c>
      <c r="H139" s="2"/>
      <c r="I139" s="2"/>
      <c r="J139" s="2" t="s">
        <v>19</v>
      </c>
      <c r="K139" s="2"/>
      <c r="L139" s="2" t="s">
        <v>89</v>
      </c>
    </row>
    <row r="140" customFormat="false" ht="13.35" hidden="false" customHeight="true" outlineLevel="0" collapsed="false">
      <c r="A140" s="5" t="str">
        <f aca="false">HYPERLINK("https://www.fabsurplus.com/sdi_catalog/salesItemDetails.do?id=87956")</f>
        <v>https://www.fabsurplus.com/sdi_catalog/salesItemDetails.do?id=87956</v>
      </c>
      <c r="B140" s="5" t="s">
        <v>381</v>
      </c>
      <c r="C140" s="5" t="s">
        <v>372</v>
      </c>
      <c r="D140" s="5" t="s">
        <v>350</v>
      </c>
      <c r="E140" s="5" t="s">
        <v>87</v>
      </c>
      <c r="F140" s="5" t="s">
        <v>366</v>
      </c>
      <c r="G140" s="5" t="s">
        <v>88</v>
      </c>
      <c r="H140" s="5"/>
      <c r="I140" s="5"/>
      <c r="J140" s="5" t="s">
        <v>19</v>
      </c>
      <c r="K140" s="5"/>
      <c r="L140" s="5" t="s">
        <v>89</v>
      </c>
    </row>
    <row r="141" customFormat="false" ht="13.35" hidden="false" customHeight="true" outlineLevel="0" collapsed="false">
      <c r="A141" s="2" t="str">
        <f aca="false">HYPERLINK("https://www.fabsurplus.com/sdi_catalog/salesItemDetails.do?id=87957")</f>
        <v>https://www.fabsurplus.com/sdi_catalog/salesItemDetails.do?id=87957</v>
      </c>
      <c r="B141" s="2" t="s">
        <v>382</v>
      </c>
      <c r="C141" s="2" t="s">
        <v>372</v>
      </c>
      <c r="D141" s="2" t="s">
        <v>383</v>
      </c>
      <c r="E141" s="2" t="s">
        <v>87</v>
      </c>
      <c r="F141" s="2" t="s">
        <v>58</v>
      </c>
      <c r="G141" s="2" t="s">
        <v>88</v>
      </c>
      <c r="H141" s="2"/>
      <c r="I141" s="2"/>
      <c r="J141" s="2" t="s">
        <v>19</v>
      </c>
      <c r="K141" s="2"/>
      <c r="L141" s="2" t="s">
        <v>89</v>
      </c>
    </row>
    <row r="142" customFormat="false" ht="13.35" hidden="false" customHeight="true" outlineLevel="0" collapsed="false">
      <c r="A142" s="5" t="str">
        <f aca="false">HYPERLINK("https://www.fabsurplus.com/sdi_catalog/salesItemDetails.do?id=87958")</f>
        <v>https://www.fabsurplus.com/sdi_catalog/salesItemDetails.do?id=87958</v>
      </c>
      <c r="B142" s="5" t="s">
        <v>384</v>
      </c>
      <c r="C142" s="5" t="s">
        <v>372</v>
      </c>
      <c r="D142" s="5" t="s">
        <v>385</v>
      </c>
      <c r="E142" s="5" t="s">
        <v>87</v>
      </c>
      <c r="F142" s="5" t="s">
        <v>125</v>
      </c>
      <c r="G142" s="5" t="s">
        <v>88</v>
      </c>
      <c r="H142" s="5"/>
      <c r="I142" s="5"/>
      <c r="J142" s="5" t="s">
        <v>19</v>
      </c>
      <c r="K142" s="5"/>
      <c r="L142" s="5" t="s">
        <v>89</v>
      </c>
    </row>
    <row r="143" customFormat="false" ht="13.35" hidden="false" customHeight="true" outlineLevel="0" collapsed="false">
      <c r="A143" s="2" t="str">
        <f aca="false">HYPERLINK("https://www.fabsurplus.com/sdi_catalog/salesItemDetails.do?id=87959")</f>
        <v>https://www.fabsurplus.com/sdi_catalog/salesItemDetails.do?id=87959</v>
      </c>
      <c r="B143" s="2" t="s">
        <v>386</v>
      </c>
      <c r="C143" s="2" t="s">
        <v>372</v>
      </c>
      <c r="D143" s="2" t="s">
        <v>387</v>
      </c>
      <c r="E143" s="2" t="s">
        <v>87</v>
      </c>
      <c r="F143" s="2" t="s">
        <v>388</v>
      </c>
      <c r="G143" s="2" t="s">
        <v>88</v>
      </c>
      <c r="H143" s="2"/>
      <c r="I143" s="2"/>
      <c r="J143" s="2" t="s">
        <v>19</v>
      </c>
      <c r="K143" s="2"/>
      <c r="L143" s="2" t="s">
        <v>89</v>
      </c>
    </row>
    <row r="144" customFormat="false" ht="13.35" hidden="false" customHeight="true" outlineLevel="0" collapsed="false">
      <c r="A144" s="5" t="str">
        <f aca="false">HYPERLINK("https://www.fabsurplus.com/sdi_catalog/salesItemDetails.do?id=87960")</f>
        <v>https://www.fabsurplus.com/sdi_catalog/salesItemDetails.do?id=87960</v>
      </c>
      <c r="B144" s="5" t="s">
        <v>389</v>
      </c>
      <c r="C144" s="5" t="s">
        <v>372</v>
      </c>
      <c r="D144" s="5" t="s">
        <v>390</v>
      </c>
      <c r="E144" s="5" t="s">
        <v>87</v>
      </c>
      <c r="F144" s="5" t="s">
        <v>16</v>
      </c>
      <c r="G144" s="5" t="s">
        <v>88</v>
      </c>
      <c r="H144" s="5"/>
      <c r="I144" s="5"/>
      <c r="J144" s="5" t="s">
        <v>19</v>
      </c>
      <c r="K144" s="5"/>
      <c r="L144" s="5" t="s">
        <v>89</v>
      </c>
    </row>
    <row r="145" customFormat="false" ht="13.35" hidden="false" customHeight="true" outlineLevel="0" collapsed="false">
      <c r="A145" s="2" t="str">
        <f aca="false">HYPERLINK("https://www.fabsurplus.com/sdi_catalog/salesItemDetails.do?id=87961")</f>
        <v>https://www.fabsurplus.com/sdi_catalog/salesItemDetails.do?id=87961</v>
      </c>
      <c r="B145" s="2" t="s">
        <v>391</v>
      </c>
      <c r="C145" s="2" t="s">
        <v>372</v>
      </c>
      <c r="D145" s="2" t="s">
        <v>392</v>
      </c>
      <c r="E145" s="2" t="s">
        <v>87</v>
      </c>
      <c r="F145" s="2" t="s">
        <v>393</v>
      </c>
      <c r="G145" s="2" t="s">
        <v>88</v>
      </c>
      <c r="H145" s="2"/>
      <c r="I145" s="2"/>
      <c r="J145" s="2" t="s">
        <v>19</v>
      </c>
      <c r="K145" s="2"/>
      <c r="L145" s="2" t="s">
        <v>89</v>
      </c>
    </row>
    <row r="146" customFormat="false" ht="13.35" hidden="false" customHeight="true" outlineLevel="0" collapsed="false">
      <c r="A146" s="5" t="str">
        <f aca="false">HYPERLINK("https://www.fabsurplus.com/sdi_catalog/salesItemDetails.do?id=87962")</f>
        <v>https://www.fabsurplus.com/sdi_catalog/salesItemDetails.do?id=87962</v>
      </c>
      <c r="B146" s="5" t="s">
        <v>394</v>
      </c>
      <c r="C146" s="5" t="s">
        <v>372</v>
      </c>
      <c r="D146" s="5" t="s">
        <v>395</v>
      </c>
      <c r="E146" s="5" t="s">
        <v>87</v>
      </c>
      <c r="F146" s="5" t="s">
        <v>125</v>
      </c>
      <c r="G146" s="5" t="s">
        <v>88</v>
      </c>
      <c r="H146" s="5"/>
      <c r="I146" s="5"/>
      <c r="J146" s="5" t="s">
        <v>19</v>
      </c>
      <c r="K146" s="5"/>
      <c r="L146" s="5" t="s">
        <v>89</v>
      </c>
    </row>
    <row r="147" customFormat="false" ht="13.35" hidden="false" customHeight="true" outlineLevel="0" collapsed="false">
      <c r="A147" s="2" t="str">
        <f aca="false">HYPERLINK("https://www.fabsurplus.com/sdi_catalog/salesItemDetails.do?id=87963")</f>
        <v>https://www.fabsurplus.com/sdi_catalog/salesItemDetails.do?id=87963</v>
      </c>
      <c r="B147" s="2" t="s">
        <v>396</v>
      </c>
      <c r="C147" s="2" t="s">
        <v>372</v>
      </c>
      <c r="D147" s="2" t="s">
        <v>397</v>
      </c>
      <c r="E147" s="2" t="s">
        <v>87</v>
      </c>
      <c r="F147" s="2" t="s">
        <v>125</v>
      </c>
      <c r="G147" s="2" t="s">
        <v>88</v>
      </c>
      <c r="H147" s="2"/>
      <c r="I147" s="2"/>
      <c r="J147" s="2" t="s">
        <v>19</v>
      </c>
      <c r="K147" s="2"/>
      <c r="L147" s="2" t="s">
        <v>89</v>
      </c>
    </row>
    <row r="148" customFormat="false" ht="13.35" hidden="false" customHeight="true" outlineLevel="0" collapsed="false">
      <c r="A148" s="5" t="str">
        <f aca="false">HYPERLINK("https://www.fabsurplus.com/sdi_catalog/salesItemDetails.do?id=87531")</f>
        <v>https://www.fabsurplus.com/sdi_catalog/salesItemDetails.do?id=87531</v>
      </c>
      <c r="B148" s="5" t="s">
        <v>398</v>
      </c>
      <c r="C148" s="5" t="s">
        <v>399</v>
      </c>
      <c r="D148" s="5" t="s">
        <v>400</v>
      </c>
      <c r="E148" s="5" t="s">
        <v>401</v>
      </c>
      <c r="F148" s="5" t="s">
        <v>16</v>
      </c>
      <c r="G148" s="5" t="s">
        <v>402</v>
      </c>
      <c r="H148" s="5" t="s">
        <v>96</v>
      </c>
      <c r="I148" s="5"/>
      <c r="J148" s="5" t="s">
        <v>403</v>
      </c>
      <c r="K148" s="5" t="s">
        <v>404</v>
      </c>
      <c r="L148" s="7" t="s">
        <v>405</v>
      </c>
    </row>
    <row r="149" customFormat="false" ht="13.35" hidden="false" customHeight="true" outlineLevel="0" collapsed="false">
      <c r="A149" s="5" t="str">
        <f aca="false">HYPERLINK("https://www.fabsurplus.com/sdi_catalog/salesItemDetails.do?id=64251")</f>
        <v>https://www.fabsurplus.com/sdi_catalog/salesItemDetails.do?id=64251</v>
      </c>
      <c r="B149" s="5" t="s">
        <v>406</v>
      </c>
      <c r="C149" s="5" t="s">
        <v>407</v>
      </c>
      <c r="D149" s="5" t="s">
        <v>408</v>
      </c>
      <c r="E149" s="5" t="s">
        <v>409</v>
      </c>
      <c r="F149" s="5" t="s">
        <v>16</v>
      </c>
      <c r="G149" s="5" t="s">
        <v>181</v>
      </c>
      <c r="H149" s="5" t="s">
        <v>18</v>
      </c>
      <c r="I149" s="5"/>
      <c r="J149" s="5" t="s">
        <v>19</v>
      </c>
      <c r="K149" s="5" t="s">
        <v>20</v>
      </c>
      <c r="L149" s="7" t="s">
        <v>410</v>
      </c>
    </row>
    <row r="150" customFormat="false" ht="13.35" hidden="false" customHeight="true" outlineLevel="0" collapsed="false">
      <c r="A150" s="2" t="str">
        <f aca="false">HYPERLINK("https://www.fabsurplus.com/sdi_catalog/salesItemDetails.do?id=101697")</f>
        <v>https://www.fabsurplus.com/sdi_catalog/salesItemDetails.do?id=101697</v>
      </c>
      <c r="B150" s="2" t="s">
        <v>411</v>
      </c>
      <c r="C150" s="2" t="s">
        <v>407</v>
      </c>
      <c r="D150" s="2" t="s">
        <v>412</v>
      </c>
      <c r="E150" s="2" t="s">
        <v>413</v>
      </c>
      <c r="F150" s="2" t="s">
        <v>125</v>
      </c>
      <c r="G150" s="2" t="s">
        <v>190</v>
      </c>
      <c r="H150" s="2" t="s">
        <v>26</v>
      </c>
      <c r="I150" s="2"/>
      <c r="J150" s="2" t="s">
        <v>47</v>
      </c>
      <c r="K150" s="2" t="s">
        <v>20</v>
      </c>
      <c r="L150" s="4" t="s">
        <v>414</v>
      </c>
    </row>
    <row r="151" customFormat="false" ht="13.35" hidden="false" customHeight="true" outlineLevel="0" collapsed="false">
      <c r="A151" s="5" t="str">
        <f aca="false">HYPERLINK("https://www.fabsurplus.com/sdi_catalog/salesItemDetails.do?id=102974")</f>
        <v>https://www.fabsurplus.com/sdi_catalog/salesItemDetails.do?id=102974</v>
      </c>
      <c r="B151" s="5" t="s">
        <v>415</v>
      </c>
      <c r="C151" s="5" t="s">
        <v>416</v>
      </c>
      <c r="D151" s="5" t="s">
        <v>417</v>
      </c>
      <c r="E151" s="5" t="s">
        <v>418</v>
      </c>
      <c r="F151" s="5" t="s">
        <v>16</v>
      </c>
      <c r="G151" s="5" t="s">
        <v>222</v>
      </c>
      <c r="H151" s="5"/>
      <c r="I151" s="5"/>
      <c r="J151" s="5" t="s">
        <v>19</v>
      </c>
      <c r="K151" s="5"/>
      <c r="L151" s="5"/>
    </row>
    <row r="152" customFormat="false" ht="13.35" hidden="false" customHeight="true" outlineLevel="0" collapsed="false">
      <c r="A152" s="2" t="str">
        <f aca="false">HYPERLINK("https://www.fabsurplus.com/sdi_catalog/salesItemDetails.do?id=97847")</f>
        <v>https://www.fabsurplus.com/sdi_catalog/salesItemDetails.do?id=97847</v>
      </c>
      <c r="B152" s="2" t="s">
        <v>419</v>
      </c>
      <c r="C152" s="2" t="s">
        <v>407</v>
      </c>
      <c r="D152" s="2" t="s">
        <v>420</v>
      </c>
      <c r="E152" s="2" t="s">
        <v>421</v>
      </c>
      <c r="F152" s="2" t="s">
        <v>16</v>
      </c>
      <c r="G152" s="2"/>
      <c r="H152" s="2"/>
      <c r="I152" s="2"/>
      <c r="J152" s="2" t="s">
        <v>19</v>
      </c>
      <c r="K152" s="2"/>
      <c r="L152" s="2"/>
    </row>
    <row r="153" customFormat="false" ht="13.35" hidden="false" customHeight="true" outlineLevel="0" collapsed="false">
      <c r="A153" s="5" t="str">
        <f aca="false">HYPERLINK("https://www.fabsurplus.com/sdi_catalog/salesItemDetails.do?id=102509")</f>
        <v>https://www.fabsurplus.com/sdi_catalog/salesItemDetails.do?id=102509</v>
      </c>
      <c r="B153" s="5" t="s">
        <v>422</v>
      </c>
      <c r="C153" s="5" t="s">
        <v>407</v>
      </c>
      <c r="D153" s="5" t="s">
        <v>423</v>
      </c>
      <c r="E153" s="5" t="s">
        <v>424</v>
      </c>
      <c r="F153" s="5" t="s">
        <v>16</v>
      </c>
      <c r="G153" s="5" t="s">
        <v>181</v>
      </c>
      <c r="H153" s="5"/>
      <c r="I153" s="6" t="n">
        <v>36678</v>
      </c>
      <c r="J153" s="5" t="s">
        <v>47</v>
      </c>
      <c r="K153" s="5"/>
      <c r="L153" s="5"/>
    </row>
    <row r="154" customFormat="false" ht="13.35" hidden="false" customHeight="true" outlineLevel="0" collapsed="false">
      <c r="A154" s="5" t="str">
        <f aca="false">HYPERLINK("https://www.fabsurplus.com/sdi_catalog/salesItemDetails.do?id=101035")</f>
        <v>https://www.fabsurplus.com/sdi_catalog/salesItemDetails.do?id=101035</v>
      </c>
      <c r="B154" s="5" t="s">
        <v>425</v>
      </c>
      <c r="C154" s="5" t="s">
        <v>407</v>
      </c>
      <c r="D154" s="5" t="s">
        <v>426</v>
      </c>
      <c r="E154" s="5" t="s">
        <v>427</v>
      </c>
      <c r="F154" s="5" t="s">
        <v>16</v>
      </c>
      <c r="G154" s="5" t="s">
        <v>88</v>
      </c>
      <c r="H154" s="5" t="s">
        <v>18</v>
      </c>
      <c r="I154" s="6" t="n">
        <v>39600</v>
      </c>
      <c r="J154" s="5" t="s">
        <v>19</v>
      </c>
      <c r="K154" s="5" t="s">
        <v>20</v>
      </c>
      <c r="L154" s="7" t="s">
        <v>428</v>
      </c>
    </row>
    <row r="155" customFormat="false" ht="13.35" hidden="false" customHeight="true" outlineLevel="0" collapsed="false">
      <c r="A155" s="5" t="str">
        <f aca="false">HYPERLINK("https://www.fabsurplus.com/sdi_catalog/salesItemDetails.do?id=101036")</f>
        <v>https://www.fabsurplus.com/sdi_catalog/salesItemDetails.do?id=101036</v>
      </c>
      <c r="B155" s="5" t="s">
        <v>429</v>
      </c>
      <c r="C155" s="5" t="s">
        <v>407</v>
      </c>
      <c r="D155" s="5" t="s">
        <v>426</v>
      </c>
      <c r="E155" s="5" t="s">
        <v>427</v>
      </c>
      <c r="F155" s="5" t="s">
        <v>16</v>
      </c>
      <c r="G155" s="5" t="s">
        <v>88</v>
      </c>
      <c r="H155" s="5" t="s">
        <v>18</v>
      </c>
      <c r="I155" s="6" t="n">
        <v>39600</v>
      </c>
      <c r="J155" s="5" t="s">
        <v>19</v>
      </c>
      <c r="K155" s="5" t="s">
        <v>20</v>
      </c>
      <c r="L155" s="7" t="s">
        <v>428</v>
      </c>
    </row>
    <row r="156" customFormat="false" ht="13.35" hidden="false" customHeight="true" outlineLevel="0" collapsed="false">
      <c r="A156" s="2" t="str">
        <f aca="false">HYPERLINK("https://www.fabsurplus.com/sdi_catalog/salesItemDetails.do?id=92444")</f>
        <v>https://www.fabsurplus.com/sdi_catalog/salesItemDetails.do?id=92444</v>
      </c>
      <c r="B156" s="2" t="s">
        <v>430</v>
      </c>
      <c r="C156" s="2" t="s">
        <v>431</v>
      </c>
      <c r="D156" s="2" t="s">
        <v>432</v>
      </c>
      <c r="E156" s="2" t="s">
        <v>229</v>
      </c>
      <c r="F156" s="2" t="s">
        <v>16</v>
      </c>
      <c r="G156" s="2"/>
      <c r="H156" s="2"/>
      <c r="I156" s="2"/>
      <c r="J156" s="2" t="s">
        <v>47</v>
      </c>
      <c r="K156" s="2"/>
      <c r="L156" s="2" t="s">
        <v>48</v>
      </c>
    </row>
    <row r="157" customFormat="false" ht="13.35" hidden="false" customHeight="true" outlineLevel="0" collapsed="false">
      <c r="A157" s="5" t="str">
        <f aca="false">HYPERLINK("https://www.fabsurplus.com/sdi_catalog/salesItemDetails.do?id=92445")</f>
        <v>https://www.fabsurplus.com/sdi_catalog/salesItemDetails.do?id=92445</v>
      </c>
      <c r="B157" s="5" t="s">
        <v>433</v>
      </c>
      <c r="C157" s="5" t="s">
        <v>431</v>
      </c>
      <c r="D157" s="5" t="s">
        <v>434</v>
      </c>
      <c r="E157" s="5" t="s">
        <v>229</v>
      </c>
      <c r="F157" s="5" t="s">
        <v>16</v>
      </c>
      <c r="G157" s="5"/>
      <c r="H157" s="5"/>
      <c r="I157" s="5"/>
      <c r="J157" s="5" t="s">
        <v>47</v>
      </c>
      <c r="K157" s="5"/>
      <c r="L157" s="5" t="s">
        <v>48</v>
      </c>
    </row>
    <row r="158" customFormat="false" ht="13.35" hidden="false" customHeight="true" outlineLevel="0" collapsed="false">
      <c r="A158" s="2" t="str">
        <f aca="false">HYPERLINK("https://www.fabsurplus.com/sdi_catalog/salesItemDetails.do?id=92446")</f>
        <v>https://www.fabsurplus.com/sdi_catalog/salesItemDetails.do?id=92446</v>
      </c>
      <c r="B158" s="2" t="s">
        <v>435</v>
      </c>
      <c r="C158" s="2" t="s">
        <v>431</v>
      </c>
      <c r="D158" s="2" t="s">
        <v>436</v>
      </c>
      <c r="E158" s="2" t="s">
        <v>229</v>
      </c>
      <c r="F158" s="2" t="s">
        <v>16</v>
      </c>
      <c r="G158" s="2"/>
      <c r="H158" s="2"/>
      <c r="I158" s="2"/>
      <c r="J158" s="2" t="s">
        <v>47</v>
      </c>
      <c r="K158" s="2"/>
      <c r="L158" s="2" t="s">
        <v>48</v>
      </c>
    </row>
    <row r="159" customFormat="false" ht="13.35" hidden="false" customHeight="true" outlineLevel="0" collapsed="false">
      <c r="A159" s="5" t="str">
        <f aca="false">HYPERLINK("https://www.fabsurplus.com/sdi_catalog/salesItemDetails.do?id=100030")</f>
        <v>https://www.fabsurplus.com/sdi_catalog/salesItemDetails.do?id=100030</v>
      </c>
      <c r="B159" s="5" t="s">
        <v>437</v>
      </c>
      <c r="C159" s="5" t="s">
        <v>438</v>
      </c>
      <c r="D159" s="5" t="s">
        <v>179</v>
      </c>
      <c r="E159" s="5" t="s">
        <v>169</v>
      </c>
      <c r="F159" s="5" t="s">
        <v>16</v>
      </c>
      <c r="G159" s="5" t="s">
        <v>240</v>
      </c>
      <c r="H159" s="5"/>
      <c r="I159" s="6" t="n">
        <v>40940</v>
      </c>
      <c r="J159" s="5" t="s">
        <v>19</v>
      </c>
      <c r="K159" s="5"/>
      <c r="L159" s="7" t="s">
        <v>439</v>
      </c>
    </row>
    <row r="160" customFormat="false" ht="13.35" hidden="false" customHeight="true" outlineLevel="0" collapsed="false">
      <c r="A160" s="5" t="str">
        <f aca="false">HYPERLINK("https://www.fabsurplus.com/sdi_catalog/salesItemDetails.do?id=102510")</f>
        <v>https://www.fabsurplus.com/sdi_catalog/salesItemDetails.do?id=102510</v>
      </c>
      <c r="B160" s="5" t="s">
        <v>440</v>
      </c>
      <c r="C160" s="5" t="s">
        <v>438</v>
      </c>
      <c r="D160" s="5" t="s">
        <v>441</v>
      </c>
      <c r="E160" s="5" t="s">
        <v>442</v>
      </c>
      <c r="F160" s="5" t="s">
        <v>16</v>
      </c>
      <c r="G160" s="5" t="s">
        <v>154</v>
      </c>
      <c r="H160" s="5"/>
      <c r="I160" s="5"/>
      <c r="J160" s="5" t="s">
        <v>47</v>
      </c>
      <c r="K160" s="5"/>
      <c r="L160" s="5"/>
    </row>
    <row r="161" customFormat="false" ht="13.35" hidden="false" customHeight="true" outlineLevel="0" collapsed="false">
      <c r="A161" s="2" t="str">
        <f aca="false">HYPERLINK("https://www.fabsurplus.com/sdi_catalog/salesItemDetails.do?id=102511")</f>
        <v>https://www.fabsurplus.com/sdi_catalog/salesItemDetails.do?id=102511</v>
      </c>
      <c r="B161" s="2" t="s">
        <v>443</v>
      </c>
      <c r="C161" s="2" t="s">
        <v>438</v>
      </c>
      <c r="D161" s="2" t="s">
        <v>441</v>
      </c>
      <c r="E161" s="2" t="s">
        <v>444</v>
      </c>
      <c r="F161" s="2" t="s">
        <v>16</v>
      </c>
      <c r="G161" s="2" t="s">
        <v>154</v>
      </c>
      <c r="H161" s="2"/>
      <c r="I161" s="2"/>
      <c r="J161" s="2" t="s">
        <v>47</v>
      </c>
      <c r="K161" s="2"/>
      <c r="L161" s="2"/>
    </row>
    <row r="162" customFormat="false" ht="13.35" hidden="false" customHeight="true" outlineLevel="0" collapsed="false">
      <c r="A162" s="5" t="str">
        <f aca="false">HYPERLINK("https://www.fabsurplus.com/sdi_catalog/salesItemDetails.do?id=102512")</f>
        <v>https://www.fabsurplus.com/sdi_catalog/salesItemDetails.do?id=102512</v>
      </c>
      <c r="B162" s="5" t="s">
        <v>445</v>
      </c>
      <c r="C162" s="5" t="s">
        <v>438</v>
      </c>
      <c r="D162" s="5" t="s">
        <v>441</v>
      </c>
      <c r="E162" s="5" t="s">
        <v>446</v>
      </c>
      <c r="F162" s="5" t="s">
        <v>125</v>
      </c>
      <c r="G162" s="5" t="s">
        <v>154</v>
      </c>
      <c r="H162" s="5"/>
      <c r="I162" s="5"/>
      <c r="J162" s="5" t="s">
        <v>47</v>
      </c>
      <c r="K162" s="5"/>
      <c r="L162" s="5"/>
    </row>
    <row r="163" customFormat="false" ht="13.35" hidden="false" customHeight="true" outlineLevel="0" collapsed="false">
      <c r="A163" s="2" t="str">
        <f aca="false">HYPERLINK("https://www.fabsurplus.com/sdi_catalog/salesItemDetails.do?id=102513")</f>
        <v>https://www.fabsurplus.com/sdi_catalog/salesItemDetails.do?id=102513</v>
      </c>
      <c r="B163" s="2" t="s">
        <v>447</v>
      </c>
      <c r="C163" s="2" t="s">
        <v>438</v>
      </c>
      <c r="D163" s="2" t="s">
        <v>441</v>
      </c>
      <c r="E163" s="2" t="s">
        <v>448</v>
      </c>
      <c r="F163" s="2" t="s">
        <v>125</v>
      </c>
      <c r="G163" s="2" t="s">
        <v>154</v>
      </c>
      <c r="H163" s="2"/>
      <c r="I163" s="2"/>
      <c r="J163" s="2" t="s">
        <v>47</v>
      </c>
      <c r="K163" s="2"/>
      <c r="L163" s="2"/>
    </row>
    <row r="164" customFormat="false" ht="13.35" hidden="false" customHeight="true" outlineLevel="0" collapsed="false">
      <c r="A164" s="5" t="str">
        <f aca="false">HYPERLINK("https://www.fabsurplus.com/sdi_catalog/salesItemDetails.do?id=102514")</f>
        <v>https://www.fabsurplus.com/sdi_catalog/salesItemDetails.do?id=102514</v>
      </c>
      <c r="B164" s="5" t="s">
        <v>449</v>
      </c>
      <c r="C164" s="5" t="s">
        <v>438</v>
      </c>
      <c r="D164" s="5" t="s">
        <v>441</v>
      </c>
      <c r="E164" s="5" t="s">
        <v>450</v>
      </c>
      <c r="F164" s="5" t="s">
        <v>366</v>
      </c>
      <c r="G164" s="5" t="s">
        <v>154</v>
      </c>
      <c r="H164" s="5"/>
      <c r="I164" s="5"/>
      <c r="J164" s="5" t="s">
        <v>47</v>
      </c>
      <c r="K164" s="5"/>
      <c r="L164" s="5"/>
    </row>
    <row r="165" customFormat="false" ht="13.35" hidden="false" customHeight="true" outlineLevel="0" collapsed="false">
      <c r="A165" s="2" t="str">
        <f aca="false">HYPERLINK("https://www.fabsurplus.com/sdi_catalog/salesItemDetails.do?id=102515")</f>
        <v>https://www.fabsurplus.com/sdi_catalog/salesItemDetails.do?id=102515</v>
      </c>
      <c r="B165" s="2" t="s">
        <v>451</v>
      </c>
      <c r="C165" s="2" t="s">
        <v>438</v>
      </c>
      <c r="D165" s="2" t="s">
        <v>441</v>
      </c>
      <c r="E165" s="2" t="s">
        <v>452</v>
      </c>
      <c r="F165" s="2" t="s">
        <v>16</v>
      </c>
      <c r="G165" s="2" t="s">
        <v>154</v>
      </c>
      <c r="H165" s="2"/>
      <c r="I165" s="2"/>
      <c r="J165" s="2" t="s">
        <v>47</v>
      </c>
      <c r="K165" s="2"/>
      <c r="L165" s="2"/>
    </row>
    <row r="166" customFormat="false" ht="13.35" hidden="false" customHeight="true" outlineLevel="0" collapsed="false">
      <c r="A166" s="5" t="str">
        <f aca="false">HYPERLINK("https://www.fabsurplus.com/sdi_catalog/salesItemDetails.do?id=102516")</f>
        <v>https://www.fabsurplus.com/sdi_catalog/salesItemDetails.do?id=102516</v>
      </c>
      <c r="B166" s="5" t="s">
        <v>453</v>
      </c>
      <c r="C166" s="5" t="s">
        <v>438</v>
      </c>
      <c r="D166" s="5" t="s">
        <v>441</v>
      </c>
      <c r="E166" s="5" t="s">
        <v>454</v>
      </c>
      <c r="F166" s="5" t="s">
        <v>16</v>
      </c>
      <c r="G166" s="5" t="s">
        <v>154</v>
      </c>
      <c r="H166" s="5"/>
      <c r="I166" s="5"/>
      <c r="J166" s="5" t="s">
        <v>47</v>
      </c>
      <c r="K166" s="5"/>
      <c r="L166" s="5"/>
    </row>
    <row r="167" customFormat="false" ht="13.35" hidden="false" customHeight="true" outlineLevel="0" collapsed="false">
      <c r="A167" s="2" t="str">
        <f aca="false">HYPERLINK("https://www.fabsurplus.com/sdi_catalog/salesItemDetails.do?id=102517")</f>
        <v>https://www.fabsurplus.com/sdi_catalog/salesItemDetails.do?id=102517</v>
      </c>
      <c r="B167" s="2" t="s">
        <v>455</v>
      </c>
      <c r="C167" s="2" t="s">
        <v>438</v>
      </c>
      <c r="D167" s="2" t="s">
        <v>441</v>
      </c>
      <c r="E167" s="2" t="s">
        <v>456</v>
      </c>
      <c r="F167" s="2" t="s">
        <v>457</v>
      </c>
      <c r="G167" s="2" t="s">
        <v>154</v>
      </c>
      <c r="H167" s="2"/>
      <c r="I167" s="2"/>
      <c r="J167" s="2" t="s">
        <v>47</v>
      </c>
      <c r="K167" s="2"/>
      <c r="L167" s="2"/>
    </row>
    <row r="168" customFormat="false" ht="13.35" hidden="false" customHeight="true" outlineLevel="0" collapsed="false">
      <c r="A168" s="5" t="str">
        <f aca="false">HYPERLINK("https://www.fabsurplus.com/sdi_catalog/salesItemDetails.do?id=102518")</f>
        <v>https://www.fabsurplus.com/sdi_catalog/salesItemDetails.do?id=102518</v>
      </c>
      <c r="B168" s="5" t="s">
        <v>458</v>
      </c>
      <c r="C168" s="5" t="s">
        <v>438</v>
      </c>
      <c r="D168" s="5" t="s">
        <v>441</v>
      </c>
      <c r="E168" s="5" t="s">
        <v>459</v>
      </c>
      <c r="F168" s="5" t="s">
        <v>460</v>
      </c>
      <c r="G168" s="5" t="s">
        <v>154</v>
      </c>
      <c r="H168" s="5"/>
      <c r="I168" s="5"/>
      <c r="J168" s="5" t="s">
        <v>47</v>
      </c>
      <c r="K168" s="5"/>
      <c r="L168" s="5"/>
    </row>
    <row r="169" customFormat="false" ht="13.35" hidden="false" customHeight="true" outlineLevel="0" collapsed="false">
      <c r="A169" s="2" t="str">
        <f aca="false">HYPERLINK("https://www.fabsurplus.com/sdi_catalog/salesItemDetails.do?id=102519")</f>
        <v>https://www.fabsurplus.com/sdi_catalog/salesItemDetails.do?id=102519</v>
      </c>
      <c r="B169" s="2" t="s">
        <v>461</v>
      </c>
      <c r="C169" s="2" t="s">
        <v>438</v>
      </c>
      <c r="D169" s="2" t="s">
        <v>441</v>
      </c>
      <c r="E169" s="2" t="s">
        <v>462</v>
      </c>
      <c r="F169" s="2" t="s">
        <v>366</v>
      </c>
      <c r="G169" s="2" t="s">
        <v>154</v>
      </c>
      <c r="H169" s="2"/>
      <c r="I169" s="2"/>
      <c r="J169" s="2" t="s">
        <v>47</v>
      </c>
      <c r="K169" s="2"/>
      <c r="L169" s="2"/>
    </row>
    <row r="170" customFormat="false" ht="13.35" hidden="false" customHeight="true" outlineLevel="0" collapsed="false">
      <c r="A170" s="5" t="str">
        <f aca="false">HYPERLINK("https://www.fabsurplus.com/sdi_catalog/salesItemDetails.do?id=102520")</f>
        <v>https://www.fabsurplus.com/sdi_catalog/salesItemDetails.do?id=102520</v>
      </c>
      <c r="B170" s="5" t="s">
        <v>463</v>
      </c>
      <c r="C170" s="5" t="s">
        <v>438</v>
      </c>
      <c r="D170" s="5" t="s">
        <v>441</v>
      </c>
      <c r="E170" s="5" t="s">
        <v>464</v>
      </c>
      <c r="F170" s="5" t="s">
        <v>460</v>
      </c>
      <c r="G170" s="5" t="s">
        <v>154</v>
      </c>
      <c r="H170" s="5"/>
      <c r="I170" s="5"/>
      <c r="J170" s="5" t="s">
        <v>47</v>
      </c>
      <c r="K170" s="5"/>
      <c r="L170" s="5"/>
    </row>
    <row r="171" customFormat="false" ht="13.35" hidden="false" customHeight="true" outlineLevel="0" collapsed="false">
      <c r="A171" s="2" t="str">
        <f aca="false">HYPERLINK("https://www.fabsurplus.com/sdi_catalog/salesItemDetails.do?id=102521")</f>
        <v>https://www.fabsurplus.com/sdi_catalog/salesItemDetails.do?id=102521</v>
      </c>
      <c r="B171" s="2" t="s">
        <v>465</v>
      </c>
      <c r="C171" s="2" t="s">
        <v>438</v>
      </c>
      <c r="D171" s="2" t="s">
        <v>441</v>
      </c>
      <c r="E171" s="2" t="s">
        <v>466</v>
      </c>
      <c r="F171" s="2" t="s">
        <v>125</v>
      </c>
      <c r="G171" s="2" t="s">
        <v>154</v>
      </c>
      <c r="H171" s="2"/>
      <c r="I171" s="2"/>
      <c r="J171" s="2" t="s">
        <v>47</v>
      </c>
      <c r="K171" s="2"/>
      <c r="L171" s="2"/>
    </row>
    <row r="172" customFormat="false" ht="13.35" hidden="false" customHeight="true" outlineLevel="0" collapsed="false">
      <c r="A172" s="5" t="str">
        <f aca="false">HYPERLINK("https://www.fabsurplus.com/sdi_catalog/salesItemDetails.do?id=102522")</f>
        <v>https://www.fabsurplus.com/sdi_catalog/salesItemDetails.do?id=102522</v>
      </c>
      <c r="B172" s="5" t="s">
        <v>467</v>
      </c>
      <c r="C172" s="5" t="s">
        <v>438</v>
      </c>
      <c r="D172" s="5" t="s">
        <v>441</v>
      </c>
      <c r="E172" s="5" t="s">
        <v>468</v>
      </c>
      <c r="F172" s="5" t="s">
        <v>16</v>
      </c>
      <c r="G172" s="5" t="s">
        <v>154</v>
      </c>
      <c r="H172" s="5"/>
      <c r="I172" s="5"/>
      <c r="J172" s="5" t="s">
        <v>47</v>
      </c>
      <c r="K172" s="5"/>
      <c r="L172" s="5"/>
    </row>
    <row r="173" customFormat="false" ht="13.35" hidden="false" customHeight="true" outlineLevel="0" collapsed="false">
      <c r="A173" s="2" t="str">
        <f aca="false">HYPERLINK("https://www.fabsurplus.com/sdi_catalog/salesItemDetails.do?id=102523")</f>
        <v>https://www.fabsurplus.com/sdi_catalog/salesItemDetails.do?id=102523</v>
      </c>
      <c r="B173" s="2" t="s">
        <v>469</v>
      </c>
      <c r="C173" s="2" t="s">
        <v>438</v>
      </c>
      <c r="D173" s="2" t="s">
        <v>441</v>
      </c>
      <c r="E173" s="2" t="s">
        <v>470</v>
      </c>
      <c r="F173" s="2" t="s">
        <v>16</v>
      </c>
      <c r="G173" s="2" t="s">
        <v>154</v>
      </c>
      <c r="H173" s="2"/>
      <c r="I173" s="2"/>
      <c r="J173" s="2" t="s">
        <v>47</v>
      </c>
      <c r="K173" s="2"/>
      <c r="L173" s="2"/>
    </row>
    <row r="174" customFormat="false" ht="13.35" hidden="false" customHeight="true" outlineLevel="0" collapsed="false">
      <c r="A174" s="2" t="str">
        <f aca="false">HYPERLINK("https://www.fabsurplus.com/sdi_catalog/salesItemDetails.do?id=101677")</f>
        <v>https://www.fabsurplus.com/sdi_catalog/salesItemDetails.do?id=101677</v>
      </c>
      <c r="B174" s="2" t="s">
        <v>471</v>
      </c>
      <c r="C174" s="2" t="s">
        <v>472</v>
      </c>
      <c r="D174" s="2" t="s">
        <v>473</v>
      </c>
      <c r="E174" s="2" t="s">
        <v>169</v>
      </c>
      <c r="F174" s="2" t="s">
        <v>16</v>
      </c>
      <c r="G174" s="2" t="s">
        <v>181</v>
      </c>
      <c r="H174" s="2"/>
      <c r="I174" s="2"/>
      <c r="J174" s="2" t="s">
        <v>47</v>
      </c>
      <c r="K174" s="2"/>
      <c r="L174" s="2" t="s">
        <v>474</v>
      </c>
    </row>
    <row r="175" customFormat="false" ht="13.35" hidden="false" customHeight="true" outlineLevel="0" collapsed="false">
      <c r="A175" s="5" t="str">
        <f aca="false">HYPERLINK("https://www.fabsurplus.com/sdi_catalog/salesItemDetails.do?id=9871")</f>
        <v>https://www.fabsurplus.com/sdi_catalog/salesItemDetails.do?id=9871</v>
      </c>
      <c r="B175" s="5" t="s">
        <v>475</v>
      </c>
      <c r="C175" s="5" t="s">
        <v>476</v>
      </c>
      <c r="D175" s="5" t="s">
        <v>477</v>
      </c>
      <c r="E175" s="5" t="s">
        <v>478</v>
      </c>
      <c r="F175" s="5" t="s">
        <v>16</v>
      </c>
      <c r="G175" s="5" t="s">
        <v>479</v>
      </c>
      <c r="H175" s="5" t="s">
        <v>18</v>
      </c>
      <c r="I175" s="5"/>
      <c r="J175" s="5" t="s">
        <v>19</v>
      </c>
      <c r="K175" s="5" t="s">
        <v>20</v>
      </c>
      <c r="L175" s="7" t="s">
        <v>480</v>
      </c>
    </row>
    <row r="176" customFormat="false" ht="13.35" hidden="false" customHeight="true" outlineLevel="0" collapsed="false">
      <c r="A176" s="2" t="str">
        <f aca="false">HYPERLINK("https://www.fabsurplus.com/sdi_catalog/salesItemDetails.do?id=102073")</f>
        <v>https://www.fabsurplus.com/sdi_catalog/salesItemDetails.do?id=102073</v>
      </c>
      <c r="B176" s="2" t="s">
        <v>481</v>
      </c>
      <c r="C176" s="2" t="s">
        <v>482</v>
      </c>
      <c r="D176" s="2" t="s">
        <v>483</v>
      </c>
      <c r="E176" s="2" t="s">
        <v>484</v>
      </c>
      <c r="F176" s="2" t="s">
        <v>16</v>
      </c>
      <c r="G176" s="2" t="s">
        <v>36</v>
      </c>
      <c r="H176" s="2"/>
      <c r="I176" s="3" t="n">
        <v>36678</v>
      </c>
      <c r="J176" s="2" t="s">
        <v>19</v>
      </c>
      <c r="K176" s="2"/>
      <c r="L176" s="2"/>
    </row>
    <row r="177" customFormat="false" ht="13.35" hidden="false" customHeight="true" outlineLevel="0" collapsed="false">
      <c r="A177" s="2" t="str">
        <f aca="false">HYPERLINK("https://www.fabsurplus.com/sdi_catalog/salesItemDetails.do?id=35536")</f>
        <v>https://www.fabsurplus.com/sdi_catalog/salesItemDetails.do?id=35536</v>
      </c>
      <c r="B177" s="2" t="s">
        <v>485</v>
      </c>
      <c r="C177" s="2" t="s">
        <v>486</v>
      </c>
      <c r="D177" s="2" t="s">
        <v>487</v>
      </c>
      <c r="E177" s="2" t="s">
        <v>488</v>
      </c>
      <c r="F177" s="2" t="s">
        <v>16</v>
      </c>
      <c r="G177" s="2" t="s">
        <v>402</v>
      </c>
      <c r="H177" s="2" t="s">
        <v>18</v>
      </c>
      <c r="I177" s="2"/>
      <c r="J177" s="2" t="s">
        <v>47</v>
      </c>
      <c r="K177" s="2" t="s">
        <v>20</v>
      </c>
      <c r="L177" s="4" t="s">
        <v>489</v>
      </c>
    </row>
    <row r="178" customFormat="false" ht="13.35" hidden="false" customHeight="true" outlineLevel="0" collapsed="false">
      <c r="A178" s="5" t="str">
        <f aca="false">HYPERLINK("https://www.fabsurplus.com/sdi_catalog/salesItemDetails.do?id=33741")</f>
        <v>https://www.fabsurplus.com/sdi_catalog/salesItemDetails.do?id=33741</v>
      </c>
      <c r="B178" s="5" t="s">
        <v>490</v>
      </c>
      <c r="C178" s="5" t="s">
        <v>486</v>
      </c>
      <c r="D178" s="5" t="s">
        <v>491</v>
      </c>
      <c r="E178" s="5" t="s">
        <v>492</v>
      </c>
      <c r="F178" s="5" t="s">
        <v>16</v>
      </c>
      <c r="G178" s="5" t="s">
        <v>493</v>
      </c>
      <c r="H178" s="5" t="s">
        <v>18</v>
      </c>
      <c r="I178" s="6" t="n">
        <v>35431</v>
      </c>
      <c r="J178" s="5" t="s">
        <v>19</v>
      </c>
      <c r="K178" s="5" t="s">
        <v>20</v>
      </c>
      <c r="L178" s="7" t="s">
        <v>494</v>
      </c>
    </row>
    <row r="179" customFormat="false" ht="13.35" hidden="false" customHeight="true" outlineLevel="0" collapsed="false">
      <c r="A179" s="5" t="str">
        <f aca="false">HYPERLINK("https://www.fabsurplus.com/sdi_catalog/salesItemDetails.do?id=92699")</f>
        <v>https://www.fabsurplus.com/sdi_catalog/salesItemDetails.do?id=92699</v>
      </c>
      <c r="B179" s="5" t="s">
        <v>495</v>
      </c>
      <c r="C179" s="5" t="s">
        <v>496</v>
      </c>
      <c r="D179" s="5" t="s">
        <v>497</v>
      </c>
      <c r="E179" s="5" t="s">
        <v>498</v>
      </c>
      <c r="F179" s="5" t="s">
        <v>16</v>
      </c>
      <c r="G179" s="5" t="s">
        <v>499</v>
      </c>
      <c r="H179" s="5" t="s">
        <v>26</v>
      </c>
      <c r="I179" s="6" t="n">
        <v>38869</v>
      </c>
      <c r="J179" s="5" t="s">
        <v>19</v>
      </c>
      <c r="K179" s="5" t="s">
        <v>20</v>
      </c>
      <c r="L179" s="5" t="s">
        <v>112</v>
      </c>
    </row>
    <row r="180" customFormat="false" ht="13.35" hidden="false" customHeight="true" outlineLevel="0" collapsed="false">
      <c r="A180" s="2" t="str">
        <f aca="false">HYPERLINK("https://www.fabsurplus.com/sdi_catalog/salesItemDetails.do?id=83935")</f>
        <v>https://www.fabsurplus.com/sdi_catalog/salesItemDetails.do?id=83935</v>
      </c>
      <c r="B180" s="2" t="s">
        <v>500</v>
      </c>
      <c r="C180" s="2" t="s">
        <v>501</v>
      </c>
      <c r="D180" s="2" t="s">
        <v>502</v>
      </c>
      <c r="E180" s="2" t="s">
        <v>503</v>
      </c>
      <c r="F180" s="2" t="s">
        <v>16</v>
      </c>
      <c r="G180" s="2" t="s">
        <v>504</v>
      </c>
      <c r="H180" s="2" t="s">
        <v>18</v>
      </c>
      <c r="I180" s="3" t="n">
        <v>38504</v>
      </c>
      <c r="J180" s="2" t="s">
        <v>47</v>
      </c>
      <c r="K180" s="2" t="s">
        <v>20</v>
      </c>
      <c r="L180" s="4" t="s">
        <v>505</v>
      </c>
    </row>
    <row r="181" customFormat="false" ht="13.35" hidden="false" customHeight="true" outlineLevel="0" collapsed="false">
      <c r="A181" s="5" t="str">
        <f aca="false">HYPERLINK("https://www.fabsurplus.com/sdi_catalog/salesItemDetails.do?id=84766")</f>
        <v>https://www.fabsurplus.com/sdi_catalog/salesItemDetails.do?id=84766</v>
      </c>
      <c r="B181" s="5" t="s">
        <v>506</v>
      </c>
      <c r="C181" s="5" t="s">
        <v>501</v>
      </c>
      <c r="D181" s="5" t="s">
        <v>507</v>
      </c>
      <c r="E181" s="5" t="s">
        <v>508</v>
      </c>
      <c r="F181" s="5" t="s">
        <v>16</v>
      </c>
      <c r="G181" s="5" t="s">
        <v>509</v>
      </c>
      <c r="H181" s="5" t="s">
        <v>18</v>
      </c>
      <c r="I181" s="6" t="n">
        <v>41609</v>
      </c>
      <c r="J181" s="5" t="s">
        <v>19</v>
      </c>
      <c r="K181" s="5" t="s">
        <v>20</v>
      </c>
      <c r="L181" s="7" t="s">
        <v>510</v>
      </c>
    </row>
    <row r="182" customFormat="false" ht="13.35" hidden="false" customHeight="true" outlineLevel="0" collapsed="false">
      <c r="A182" s="2" t="str">
        <f aca="false">HYPERLINK("https://www.fabsurplus.com/sdi_catalog/salesItemDetails.do?id=84763")</f>
        <v>https://www.fabsurplus.com/sdi_catalog/salesItemDetails.do?id=84763</v>
      </c>
      <c r="B182" s="2" t="s">
        <v>511</v>
      </c>
      <c r="C182" s="2" t="s">
        <v>501</v>
      </c>
      <c r="D182" s="2" t="s">
        <v>512</v>
      </c>
      <c r="E182" s="2" t="s">
        <v>513</v>
      </c>
      <c r="F182" s="2" t="s">
        <v>16</v>
      </c>
      <c r="G182" s="2" t="s">
        <v>514</v>
      </c>
      <c r="H182" s="2" t="s">
        <v>18</v>
      </c>
      <c r="I182" s="3" t="n">
        <v>41426</v>
      </c>
      <c r="J182" s="2" t="s">
        <v>19</v>
      </c>
      <c r="K182" s="2" t="s">
        <v>20</v>
      </c>
      <c r="L182" s="4" t="s">
        <v>515</v>
      </c>
    </row>
    <row r="183" customFormat="false" ht="13.35" hidden="false" customHeight="true" outlineLevel="0" collapsed="false">
      <c r="A183" s="5" t="str">
        <f aca="false">HYPERLINK("https://www.fabsurplus.com/sdi_catalog/salesItemDetails.do?id=101739")</f>
        <v>https://www.fabsurplus.com/sdi_catalog/salesItemDetails.do?id=101739</v>
      </c>
      <c r="B183" s="5" t="s">
        <v>516</v>
      </c>
      <c r="C183" s="5" t="s">
        <v>517</v>
      </c>
      <c r="D183" s="5" t="s">
        <v>502</v>
      </c>
      <c r="E183" s="5" t="s">
        <v>518</v>
      </c>
      <c r="F183" s="5" t="s">
        <v>16</v>
      </c>
      <c r="G183" s="5" t="s">
        <v>519</v>
      </c>
      <c r="H183" s="5" t="s">
        <v>26</v>
      </c>
      <c r="I183" s="6" t="n">
        <v>35217</v>
      </c>
      <c r="J183" s="5" t="s">
        <v>19</v>
      </c>
      <c r="K183" s="5" t="s">
        <v>20</v>
      </c>
      <c r="L183" s="7" t="s">
        <v>520</v>
      </c>
    </row>
    <row r="184" customFormat="false" ht="13.35" hidden="false" customHeight="true" outlineLevel="0" collapsed="false">
      <c r="A184" s="2" t="str">
        <f aca="false">HYPERLINK("https://www.fabsurplus.com/sdi_catalog/salesItemDetails.do?id=101031")</f>
        <v>https://www.fabsurplus.com/sdi_catalog/salesItemDetails.do?id=101031</v>
      </c>
      <c r="B184" s="2" t="s">
        <v>521</v>
      </c>
      <c r="C184" s="2" t="s">
        <v>517</v>
      </c>
      <c r="D184" s="2" t="s">
        <v>522</v>
      </c>
      <c r="E184" s="2" t="s">
        <v>523</v>
      </c>
      <c r="F184" s="2" t="s">
        <v>51</v>
      </c>
      <c r="G184" s="2" t="s">
        <v>524</v>
      </c>
      <c r="H184" s="2" t="s">
        <v>18</v>
      </c>
      <c r="I184" s="3" t="n">
        <v>40756</v>
      </c>
      <c r="J184" s="2" t="s">
        <v>47</v>
      </c>
      <c r="K184" s="2" t="s">
        <v>20</v>
      </c>
      <c r="L184" s="4" t="s">
        <v>525</v>
      </c>
    </row>
    <row r="185" customFormat="false" ht="13.35" hidden="false" customHeight="true" outlineLevel="0" collapsed="false">
      <c r="A185" s="5" t="str">
        <f aca="false">HYPERLINK("https://www.fabsurplus.com/sdi_catalog/salesItemDetails.do?id=101704")</f>
        <v>https://www.fabsurplus.com/sdi_catalog/salesItemDetails.do?id=101704</v>
      </c>
      <c r="B185" s="5" t="s">
        <v>526</v>
      </c>
      <c r="C185" s="5" t="s">
        <v>517</v>
      </c>
      <c r="D185" s="5" t="s">
        <v>522</v>
      </c>
      <c r="E185" s="5" t="s">
        <v>527</v>
      </c>
      <c r="F185" s="5" t="s">
        <v>16</v>
      </c>
      <c r="G185" s="5" t="s">
        <v>528</v>
      </c>
      <c r="H185" s="5" t="s">
        <v>18</v>
      </c>
      <c r="I185" s="6" t="n">
        <v>40756</v>
      </c>
      <c r="J185" s="5" t="s">
        <v>47</v>
      </c>
      <c r="K185" s="5" t="s">
        <v>20</v>
      </c>
      <c r="L185" s="7" t="s">
        <v>529</v>
      </c>
    </row>
    <row r="186" customFormat="false" ht="13.35" hidden="false" customHeight="true" outlineLevel="0" collapsed="false">
      <c r="A186" s="2" t="str">
        <f aca="false">HYPERLINK("https://www.fabsurplus.com/sdi_catalog/salesItemDetails.do?id=101705")</f>
        <v>https://www.fabsurplus.com/sdi_catalog/salesItemDetails.do?id=101705</v>
      </c>
      <c r="B186" s="2" t="s">
        <v>530</v>
      </c>
      <c r="C186" s="2" t="s">
        <v>517</v>
      </c>
      <c r="D186" s="2" t="s">
        <v>522</v>
      </c>
      <c r="E186" s="2" t="s">
        <v>527</v>
      </c>
      <c r="F186" s="2" t="s">
        <v>16</v>
      </c>
      <c r="G186" s="2" t="s">
        <v>528</v>
      </c>
      <c r="H186" s="2" t="s">
        <v>18</v>
      </c>
      <c r="I186" s="3" t="n">
        <v>40756</v>
      </c>
      <c r="J186" s="2" t="s">
        <v>47</v>
      </c>
      <c r="K186" s="2" t="s">
        <v>20</v>
      </c>
      <c r="L186" s="4" t="s">
        <v>529</v>
      </c>
    </row>
    <row r="187" customFormat="false" ht="13.35" hidden="false" customHeight="true" outlineLevel="0" collapsed="false">
      <c r="A187" s="5" t="str">
        <f aca="false">HYPERLINK("https://www.fabsurplus.com/sdi_catalog/salesItemDetails.do?id=102675")</f>
        <v>https://www.fabsurplus.com/sdi_catalog/salesItemDetails.do?id=102675</v>
      </c>
      <c r="B187" s="5" t="s">
        <v>531</v>
      </c>
      <c r="C187" s="5" t="s">
        <v>532</v>
      </c>
      <c r="D187" s="5" t="s">
        <v>533</v>
      </c>
      <c r="E187" s="5" t="s">
        <v>534</v>
      </c>
      <c r="F187" s="5" t="s">
        <v>16</v>
      </c>
      <c r="G187" s="5" t="s">
        <v>535</v>
      </c>
      <c r="H187" s="5"/>
      <c r="I187" s="6" t="n">
        <v>42887</v>
      </c>
      <c r="J187" s="5" t="s">
        <v>19</v>
      </c>
      <c r="K187" s="5"/>
      <c r="L187" s="7" t="s">
        <v>536</v>
      </c>
    </row>
    <row r="188" customFormat="false" ht="13.35" hidden="false" customHeight="true" outlineLevel="0" collapsed="false">
      <c r="A188" s="2" t="str">
        <f aca="false">HYPERLINK("https://www.fabsurplus.com/sdi_catalog/salesItemDetails.do?id=102676")</f>
        <v>https://www.fabsurplus.com/sdi_catalog/salesItemDetails.do?id=102676</v>
      </c>
      <c r="B188" s="2" t="s">
        <v>537</v>
      </c>
      <c r="C188" s="2" t="s">
        <v>532</v>
      </c>
      <c r="D188" s="2" t="s">
        <v>533</v>
      </c>
      <c r="E188" s="2" t="s">
        <v>534</v>
      </c>
      <c r="F188" s="2" t="s">
        <v>16</v>
      </c>
      <c r="G188" s="2" t="s">
        <v>535</v>
      </c>
      <c r="H188" s="2"/>
      <c r="I188" s="3" t="n">
        <v>42522</v>
      </c>
      <c r="J188" s="2" t="s">
        <v>19</v>
      </c>
      <c r="K188" s="2"/>
      <c r="L188" s="4" t="s">
        <v>538</v>
      </c>
    </row>
    <row r="189" customFormat="false" ht="13.35" hidden="false" customHeight="true" outlineLevel="0" collapsed="false">
      <c r="A189" s="5" t="str">
        <f aca="false">HYPERLINK("https://www.fabsurplus.com/sdi_catalog/salesItemDetails.do?id=102677")</f>
        <v>https://www.fabsurplus.com/sdi_catalog/salesItemDetails.do?id=102677</v>
      </c>
      <c r="B189" s="5" t="s">
        <v>539</v>
      </c>
      <c r="C189" s="5" t="s">
        <v>532</v>
      </c>
      <c r="D189" s="5" t="s">
        <v>533</v>
      </c>
      <c r="E189" s="5" t="s">
        <v>534</v>
      </c>
      <c r="F189" s="5" t="s">
        <v>16</v>
      </c>
      <c r="G189" s="5" t="s">
        <v>535</v>
      </c>
      <c r="H189" s="5"/>
      <c r="I189" s="6" t="n">
        <v>42522</v>
      </c>
      <c r="J189" s="5" t="s">
        <v>19</v>
      </c>
      <c r="K189" s="5"/>
      <c r="L189" s="7" t="s">
        <v>540</v>
      </c>
    </row>
    <row r="190" customFormat="false" ht="13.35" hidden="false" customHeight="true" outlineLevel="0" collapsed="false">
      <c r="A190" s="2" t="str">
        <f aca="false">HYPERLINK("https://www.fabsurplus.com/sdi_catalog/salesItemDetails.do?id=102678")</f>
        <v>https://www.fabsurplus.com/sdi_catalog/salesItemDetails.do?id=102678</v>
      </c>
      <c r="B190" s="2" t="s">
        <v>541</v>
      </c>
      <c r="C190" s="2" t="s">
        <v>532</v>
      </c>
      <c r="D190" s="2" t="s">
        <v>542</v>
      </c>
      <c r="E190" s="2" t="s">
        <v>534</v>
      </c>
      <c r="F190" s="2" t="s">
        <v>16</v>
      </c>
      <c r="G190" s="2" t="s">
        <v>543</v>
      </c>
      <c r="H190" s="2"/>
      <c r="I190" s="2"/>
      <c r="J190" s="2" t="s">
        <v>19</v>
      </c>
      <c r="K190" s="2"/>
      <c r="L190" s="4" t="s">
        <v>544</v>
      </c>
    </row>
    <row r="191" customFormat="false" ht="13.35" hidden="false" customHeight="true" outlineLevel="0" collapsed="false">
      <c r="A191" s="5" t="str">
        <f aca="false">HYPERLINK("https://www.fabsurplus.com/sdi_catalog/salesItemDetails.do?id=102679")</f>
        <v>https://www.fabsurplus.com/sdi_catalog/salesItemDetails.do?id=102679</v>
      </c>
      <c r="B191" s="5" t="s">
        <v>545</v>
      </c>
      <c r="C191" s="5" t="s">
        <v>532</v>
      </c>
      <c r="D191" s="5" t="s">
        <v>542</v>
      </c>
      <c r="E191" s="5" t="s">
        <v>534</v>
      </c>
      <c r="F191" s="5" t="s">
        <v>16</v>
      </c>
      <c r="G191" s="5" t="s">
        <v>543</v>
      </c>
      <c r="H191" s="5"/>
      <c r="I191" s="5"/>
      <c r="J191" s="5" t="s">
        <v>19</v>
      </c>
      <c r="K191" s="5"/>
      <c r="L191" s="7" t="s">
        <v>546</v>
      </c>
    </row>
    <row r="192" customFormat="false" ht="13.35" hidden="false" customHeight="true" outlineLevel="0" collapsed="false">
      <c r="A192" s="2" t="str">
        <f aca="false">HYPERLINK("https://www.fabsurplus.com/sdi_catalog/salesItemDetails.do?id=102680")</f>
        <v>https://www.fabsurplus.com/sdi_catalog/salesItemDetails.do?id=102680</v>
      </c>
      <c r="B192" s="2" t="s">
        <v>547</v>
      </c>
      <c r="C192" s="2" t="s">
        <v>532</v>
      </c>
      <c r="D192" s="2" t="s">
        <v>542</v>
      </c>
      <c r="E192" s="2" t="s">
        <v>534</v>
      </c>
      <c r="F192" s="2" t="s">
        <v>16</v>
      </c>
      <c r="G192" s="2" t="s">
        <v>543</v>
      </c>
      <c r="H192" s="2"/>
      <c r="I192" s="3" t="n">
        <v>42522</v>
      </c>
      <c r="J192" s="2" t="s">
        <v>19</v>
      </c>
      <c r="K192" s="2"/>
      <c r="L192" s="4" t="s">
        <v>548</v>
      </c>
    </row>
    <row r="193" customFormat="false" ht="13.35" hidden="false" customHeight="true" outlineLevel="0" collapsed="false">
      <c r="A193" s="5" t="str">
        <f aca="false">HYPERLINK("https://www.fabsurplus.com/sdi_catalog/salesItemDetails.do?id=102681")</f>
        <v>https://www.fabsurplus.com/sdi_catalog/salesItemDetails.do?id=102681</v>
      </c>
      <c r="B193" s="5" t="s">
        <v>549</v>
      </c>
      <c r="C193" s="5" t="s">
        <v>532</v>
      </c>
      <c r="D193" s="5" t="s">
        <v>542</v>
      </c>
      <c r="E193" s="5" t="s">
        <v>534</v>
      </c>
      <c r="F193" s="5" t="s">
        <v>16</v>
      </c>
      <c r="G193" s="5" t="s">
        <v>543</v>
      </c>
      <c r="H193" s="5"/>
      <c r="I193" s="5"/>
      <c r="J193" s="5" t="s">
        <v>19</v>
      </c>
      <c r="K193" s="5"/>
      <c r="L193" s="7" t="s">
        <v>550</v>
      </c>
    </row>
    <row r="194" customFormat="false" ht="13.35" hidden="false" customHeight="true" outlineLevel="0" collapsed="false">
      <c r="A194" s="5" t="str">
        <f aca="false">HYPERLINK("https://www.fabsurplus.com/sdi_catalog/salesItemDetails.do?id=33617")</f>
        <v>https://www.fabsurplus.com/sdi_catalog/salesItemDetails.do?id=33617</v>
      </c>
      <c r="B194" s="5" t="s">
        <v>551</v>
      </c>
      <c r="C194" s="5" t="s">
        <v>552</v>
      </c>
      <c r="D194" s="5" t="s">
        <v>553</v>
      </c>
      <c r="E194" s="5" t="s">
        <v>554</v>
      </c>
      <c r="F194" s="5" t="s">
        <v>16</v>
      </c>
      <c r="G194" s="5" t="s">
        <v>555</v>
      </c>
      <c r="H194" s="5" t="s">
        <v>18</v>
      </c>
      <c r="I194" s="5"/>
      <c r="J194" s="5" t="s">
        <v>19</v>
      </c>
      <c r="K194" s="5" t="s">
        <v>20</v>
      </c>
      <c r="L194" s="7" t="s">
        <v>556</v>
      </c>
    </row>
    <row r="195" customFormat="false" ht="13.35" hidden="false" customHeight="true" outlineLevel="0" collapsed="false">
      <c r="A195" s="2" t="str">
        <f aca="false">HYPERLINK("https://www.fabsurplus.com/sdi_catalog/salesItemDetails.do?id=87545")</f>
        <v>https://www.fabsurplus.com/sdi_catalog/salesItemDetails.do?id=87545</v>
      </c>
      <c r="B195" s="2" t="s">
        <v>557</v>
      </c>
      <c r="C195" s="2" t="s">
        <v>558</v>
      </c>
      <c r="D195" s="2" t="s">
        <v>559</v>
      </c>
      <c r="E195" s="2" t="s">
        <v>560</v>
      </c>
      <c r="F195" s="2" t="s">
        <v>125</v>
      </c>
      <c r="G195" s="2" t="s">
        <v>138</v>
      </c>
      <c r="H195" s="2" t="s">
        <v>18</v>
      </c>
      <c r="I195" s="2"/>
      <c r="J195" s="2" t="s">
        <v>19</v>
      </c>
      <c r="K195" s="2" t="s">
        <v>20</v>
      </c>
      <c r="L195" s="4" t="s">
        <v>561</v>
      </c>
    </row>
    <row r="196" customFormat="false" ht="13.35" hidden="false" customHeight="true" outlineLevel="0" collapsed="false">
      <c r="A196" s="2" t="str">
        <f aca="false">HYPERLINK("https://www.fabsurplus.com/sdi_catalog/salesItemDetails.do?id=101863")</f>
        <v>https://www.fabsurplus.com/sdi_catalog/salesItemDetails.do?id=101863</v>
      </c>
      <c r="B196" s="2" t="s">
        <v>562</v>
      </c>
      <c r="C196" s="2" t="s">
        <v>563</v>
      </c>
      <c r="D196" s="2" t="s">
        <v>564</v>
      </c>
      <c r="E196" s="2" t="s">
        <v>565</v>
      </c>
      <c r="F196" s="2" t="s">
        <v>16</v>
      </c>
      <c r="G196" s="2" t="s">
        <v>138</v>
      </c>
      <c r="H196" s="2"/>
      <c r="I196" s="2"/>
      <c r="J196" s="2" t="s">
        <v>19</v>
      </c>
      <c r="K196" s="2"/>
      <c r="L196" s="2" t="s">
        <v>161</v>
      </c>
    </row>
    <row r="197" customFormat="false" ht="13.35" hidden="false" customHeight="true" outlineLevel="0" collapsed="false">
      <c r="A197" s="5" t="str">
        <f aca="false">HYPERLINK("https://www.fabsurplus.com/sdi_catalog/salesItemDetails.do?id=101864")</f>
        <v>https://www.fabsurplus.com/sdi_catalog/salesItemDetails.do?id=101864</v>
      </c>
      <c r="B197" s="5" t="s">
        <v>566</v>
      </c>
      <c r="C197" s="5" t="s">
        <v>563</v>
      </c>
      <c r="D197" s="5" t="s">
        <v>567</v>
      </c>
      <c r="E197" s="5" t="s">
        <v>565</v>
      </c>
      <c r="F197" s="5" t="s">
        <v>16</v>
      </c>
      <c r="G197" s="5" t="s">
        <v>138</v>
      </c>
      <c r="H197" s="5"/>
      <c r="I197" s="5"/>
      <c r="J197" s="5" t="s">
        <v>19</v>
      </c>
      <c r="K197" s="5"/>
      <c r="L197" s="5" t="s">
        <v>161</v>
      </c>
    </row>
    <row r="198" customFormat="false" ht="13.35" hidden="false" customHeight="true" outlineLevel="0" collapsed="false">
      <c r="A198" s="2" t="str">
        <f aca="false">HYPERLINK("https://www.fabsurplus.com/sdi_catalog/salesItemDetails.do?id=102074")</f>
        <v>https://www.fabsurplus.com/sdi_catalog/salesItemDetails.do?id=102074</v>
      </c>
      <c r="B198" s="2" t="s">
        <v>568</v>
      </c>
      <c r="C198" s="2" t="s">
        <v>563</v>
      </c>
      <c r="D198" s="2" t="s">
        <v>569</v>
      </c>
      <c r="E198" s="2" t="s">
        <v>570</v>
      </c>
      <c r="F198" s="2" t="s">
        <v>16</v>
      </c>
      <c r="G198" s="2"/>
      <c r="H198" s="2"/>
      <c r="I198" s="2"/>
      <c r="J198" s="2" t="s">
        <v>19</v>
      </c>
      <c r="K198" s="2"/>
      <c r="L198" s="2"/>
    </row>
    <row r="199" customFormat="false" ht="13.35" hidden="false" customHeight="true" outlineLevel="0" collapsed="false">
      <c r="A199" s="2" t="str">
        <f aca="false">HYPERLINK("https://www.fabsurplus.com/sdi_catalog/salesItemDetails.do?id=91879")</f>
        <v>https://www.fabsurplus.com/sdi_catalog/salesItemDetails.do?id=91879</v>
      </c>
      <c r="B199" s="2" t="s">
        <v>571</v>
      </c>
      <c r="C199" s="2" t="s">
        <v>572</v>
      </c>
      <c r="D199" s="2" t="s">
        <v>573</v>
      </c>
      <c r="E199" s="2" t="s">
        <v>574</v>
      </c>
      <c r="F199" s="2" t="s">
        <v>16</v>
      </c>
      <c r="G199" s="2" t="s">
        <v>493</v>
      </c>
      <c r="H199" s="2" t="s">
        <v>18</v>
      </c>
      <c r="I199" s="2"/>
      <c r="J199" s="2" t="s">
        <v>47</v>
      </c>
      <c r="K199" s="2" t="s">
        <v>20</v>
      </c>
      <c r="L199" s="4" t="s">
        <v>575</v>
      </c>
    </row>
    <row r="200" customFormat="false" ht="13.35" hidden="false" customHeight="true" outlineLevel="0" collapsed="false">
      <c r="A200" s="5" t="str">
        <f aca="false">HYPERLINK("https://www.fabsurplus.com/sdi_catalog/salesItemDetails.do?id=97848")</f>
        <v>https://www.fabsurplus.com/sdi_catalog/salesItemDetails.do?id=97848</v>
      </c>
      <c r="B200" s="5" t="s">
        <v>576</v>
      </c>
      <c r="C200" s="5" t="s">
        <v>577</v>
      </c>
      <c r="D200" s="5" t="s">
        <v>578</v>
      </c>
      <c r="E200" s="5" t="s">
        <v>579</v>
      </c>
      <c r="F200" s="5" t="s">
        <v>16</v>
      </c>
      <c r="G200" s="5"/>
      <c r="H200" s="5"/>
      <c r="I200" s="5"/>
      <c r="J200" s="5" t="s">
        <v>19</v>
      </c>
      <c r="K200" s="5"/>
      <c r="L200" s="5"/>
    </row>
    <row r="201" customFormat="false" ht="13.35" hidden="false" customHeight="true" outlineLevel="0" collapsed="false">
      <c r="A201" s="2" t="str">
        <f aca="false">HYPERLINK("https://www.fabsurplus.com/sdi_catalog/salesItemDetails.do?id=100699")</f>
        <v>https://www.fabsurplus.com/sdi_catalog/salesItemDetails.do?id=100699</v>
      </c>
      <c r="B201" s="2" t="s">
        <v>580</v>
      </c>
      <c r="C201" s="2" t="s">
        <v>581</v>
      </c>
      <c r="D201" s="2" t="s">
        <v>582</v>
      </c>
      <c r="E201" s="2" t="s">
        <v>583</v>
      </c>
      <c r="F201" s="2" t="s">
        <v>16</v>
      </c>
      <c r="G201" s="2" t="s">
        <v>160</v>
      </c>
      <c r="H201" s="2" t="s">
        <v>18</v>
      </c>
      <c r="I201" s="3" t="n">
        <v>35309</v>
      </c>
      <c r="J201" s="2" t="s">
        <v>19</v>
      </c>
      <c r="K201" s="2" t="s">
        <v>20</v>
      </c>
      <c r="L201" s="2" t="s">
        <v>584</v>
      </c>
    </row>
    <row r="202" customFormat="false" ht="13.35" hidden="false" customHeight="true" outlineLevel="0" collapsed="false">
      <c r="A202" s="5" t="str">
        <f aca="false">HYPERLINK("https://www.fabsurplus.com/sdi_catalog/salesItemDetails.do?id=100700")</f>
        <v>https://www.fabsurplus.com/sdi_catalog/salesItemDetails.do?id=100700</v>
      </c>
      <c r="B202" s="5" t="s">
        <v>585</v>
      </c>
      <c r="C202" s="5" t="s">
        <v>581</v>
      </c>
      <c r="D202" s="5" t="s">
        <v>586</v>
      </c>
      <c r="E202" s="5" t="s">
        <v>587</v>
      </c>
      <c r="F202" s="5" t="s">
        <v>16</v>
      </c>
      <c r="G202" s="5" t="s">
        <v>160</v>
      </c>
      <c r="H202" s="5" t="s">
        <v>18</v>
      </c>
      <c r="I202" s="6" t="n">
        <v>37773</v>
      </c>
      <c r="J202" s="5" t="s">
        <v>19</v>
      </c>
      <c r="K202" s="5" t="s">
        <v>20</v>
      </c>
      <c r="L202" s="5" t="s">
        <v>584</v>
      </c>
    </row>
    <row r="203" customFormat="false" ht="13.35" hidden="false" customHeight="true" outlineLevel="0" collapsed="false">
      <c r="A203" s="2" t="str">
        <f aca="false">HYPERLINK("https://www.fabsurplus.com/sdi_catalog/salesItemDetails.do?id=87475")</f>
        <v>https://www.fabsurplus.com/sdi_catalog/salesItemDetails.do?id=87475</v>
      </c>
      <c r="B203" s="2" t="s">
        <v>588</v>
      </c>
      <c r="C203" s="2" t="s">
        <v>589</v>
      </c>
      <c r="D203" s="2" t="s">
        <v>590</v>
      </c>
      <c r="E203" s="2" t="s">
        <v>591</v>
      </c>
      <c r="F203" s="2" t="s">
        <v>16</v>
      </c>
      <c r="G203" s="2" t="s">
        <v>555</v>
      </c>
      <c r="H203" s="2" t="s">
        <v>592</v>
      </c>
      <c r="I203" s="3" t="n">
        <v>34090</v>
      </c>
      <c r="J203" s="2" t="s">
        <v>19</v>
      </c>
      <c r="K203" s="2" t="s">
        <v>20</v>
      </c>
      <c r="L203" s="4" t="s">
        <v>593</v>
      </c>
    </row>
    <row r="204" customFormat="false" ht="13.35" hidden="false" customHeight="true" outlineLevel="0" collapsed="false">
      <c r="A204" s="5" t="str">
        <f aca="false">HYPERLINK("https://www.fabsurplus.com/sdi_catalog/salesItemDetails.do?id=87966")</f>
        <v>https://www.fabsurplus.com/sdi_catalog/salesItemDetails.do?id=87966</v>
      </c>
      <c r="B204" s="5" t="s">
        <v>594</v>
      </c>
      <c r="C204" s="5" t="s">
        <v>595</v>
      </c>
      <c r="D204" s="5" t="s">
        <v>596</v>
      </c>
      <c r="E204" s="5" t="s">
        <v>87</v>
      </c>
      <c r="F204" s="5" t="s">
        <v>125</v>
      </c>
      <c r="G204" s="5" t="s">
        <v>88</v>
      </c>
      <c r="H204" s="5"/>
      <c r="I204" s="5"/>
      <c r="J204" s="5" t="s">
        <v>19</v>
      </c>
      <c r="K204" s="5"/>
      <c r="L204" s="5" t="s">
        <v>89</v>
      </c>
    </row>
    <row r="205" customFormat="false" ht="13.35" hidden="false" customHeight="true" outlineLevel="0" collapsed="false">
      <c r="A205" s="5" t="str">
        <f aca="false">HYPERLINK("https://www.fabsurplus.com/sdi_catalog/salesItemDetails.do?id=87967")</f>
        <v>https://www.fabsurplus.com/sdi_catalog/salesItemDetails.do?id=87967</v>
      </c>
      <c r="B205" s="5" t="s">
        <v>597</v>
      </c>
      <c r="C205" s="5" t="s">
        <v>598</v>
      </c>
      <c r="D205" s="5" t="s">
        <v>86</v>
      </c>
      <c r="E205" s="5" t="s">
        <v>87</v>
      </c>
      <c r="F205" s="5" t="s">
        <v>16</v>
      </c>
      <c r="G205" s="5" t="s">
        <v>88</v>
      </c>
      <c r="H205" s="5"/>
      <c r="I205" s="5"/>
      <c r="J205" s="5" t="s">
        <v>19</v>
      </c>
      <c r="K205" s="5"/>
      <c r="L205" s="5" t="s">
        <v>89</v>
      </c>
    </row>
    <row r="206" customFormat="false" ht="13.35" hidden="false" customHeight="true" outlineLevel="0" collapsed="false">
      <c r="A206" s="2" t="str">
        <f aca="false">HYPERLINK("https://www.fabsurplus.com/sdi_catalog/salesItemDetails.do?id=87968")</f>
        <v>https://www.fabsurplus.com/sdi_catalog/salesItemDetails.do?id=87968</v>
      </c>
      <c r="B206" s="2" t="s">
        <v>599</v>
      </c>
      <c r="C206" s="2" t="s">
        <v>598</v>
      </c>
      <c r="D206" s="2" t="s">
        <v>600</v>
      </c>
      <c r="E206" s="2" t="s">
        <v>87</v>
      </c>
      <c r="F206" s="2" t="s">
        <v>16</v>
      </c>
      <c r="G206" s="2" t="s">
        <v>88</v>
      </c>
      <c r="H206" s="2"/>
      <c r="I206" s="2"/>
      <c r="J206" s="2" t="s">
        <v>19</v>
      </c>
      <c r="K206" s="2"/>
      <c r="L206" s="2" t="s">
        <v>89</v>
      </c>
    </row>
    <row r="207" customFormat="false" ht="13.35" hidden="false" customHeight="true" outlineLevel="0" collapsed="false">
      <c r="A207" s="5" t="str">
        <f aca="false">HYPERLINK("https://www.fabsurplus.com/sdi_catalog/salesItemDetails.do?id=87969")</f>
        <v>https://www.fabsurplus.com/sdi_catalog/salesItemDetails.do?id=87969</v>
      </c>
      <c r="B207" s="5" t="s">
        <v>601</v>
      </c>
      <c r="C207" s="5" t="s">
        <v>598</v>
      </c>
      <c r="D207" s="5" t="s">
        <v>602</v>
      </c>
      <c r="E207" s="5" t="s">
        <v>87</v>
      </c>
      <c r="F207" s="5" t="s">
        <v>366</v>
      </c>
      <c r="G207" s="5" t="s">
        <v>88</v>
      </c>
      <c r="H207" s="5"/>
      <c r="I207" s="5"/>
      <c r="J207" s="5" t="s">
        <v>19</v>
      </c>
      <c r="K207" s="5"/>
      <c r="L207" s="5" t="s">
        <v>89</v>
      </c>
    </row>
    <row r="208" customFormat="false" ht="13.35" hidden="false" customHeight="true" outlineLevel="0" collapsed="false">
      <c r="A208" s="2" t="str">
        <f aca="false">HYPERLINK("https://www.fabsurplus.com/sdi_catalog/salesItemDetails.do?id=87970")</f>
        <v>https://www.fabsurplus.com/sdi_catalog/salesItemDetails.do?id=87970</v>
      </c>
      <c r="B208" s="2" t="s">
        <v>603</v>
      </c>
      <c r="C208" s="2" t="s">
        <v>598</v>
      </c>
      <c r="D208" s="2" t="s">
        <v>604</v>
      </c>
      <c r="E208" s="2" t="s">
        <v>87</v>
      </c>
      <c r="F208" s="2" t="s">
        <v>460</v>
      </c>
      <c r="G208" s="2" t="s">
        <v>88</v>
      </c>
      <c r="H208" s="2"/>
      <c r="I208" s="2"/>
      <c r="J208" s="2" t="s">
        <v>19</v>
      </c>
      <c r="K208" s="2"/>
      <c r="L208" s="2" t="s">
        <v>89</v>
      </c>
    </row>
    <row r="209" customFormat="false" ht="13.35" hidden="false" customHeight="true" outlineLevel="0" collapsed="false">
      <c r="A209" s="5" t="str">
        <f aca="false">HYPERLINK("https://www.fabsurplus.com/sdi_catalog/salesItemDetails.do?id=87971")</f>
        <v>https://www.fabsurplus.com/sdi_catalog/salesItemDetails.do?id=87971</v>
      </c>
      <c r="B209" s="5" t="s">
        <v>605</v>
      </c>
      <c r="C209" s="5" t="s">
        <v>598</v>
      </c>
      <c r="D209" s="5" t="s">
        <v>606</v>
      </c>
      <c r="E209" s="5" t="s">
        <v>87</v>
      </c>
      <c r="F209" s="5" t="s">
        <v>16</v>
      </c>
      <c r="G209" s="5" t="s">
        <v>88</v>
      </c>
      <c r="H209" s="5"/>
      <c r="I209" s="5"/>
      <c r="J209" s="5" t="s">
        <v>19</v>
      </c>
      <c r="K209" s="5"/>
      <c r="L209" s="5" t="s">
        <v>89</v>
      </c>
    </row>
    <row r="210" customFormat="false" ht="13.35" hidden="false" customHeight="true" outlineLevel="0" collapsed="false">
      <c r="A210" s="2" t="str">
        <f aca="false">HYPERLINK("https://www.fabsurplus.com/sdi_catalog/salesItemDetails.do?id=87972")</f>
        <v>https://www.fabsurplus.com/sdi_catalog/salesItemDetails.do?id=87972</v>
      </c>
      <c r="B210" s="2" t="s">
        <v>607</v>
      </c>
      <c r="C210" s="2" t="s">
        <v>598</v>
      </c>
      <c r="D210" s="2" t="s">
        <v>608</v>
      </c>
      <c r="E210" s="2" t="s">
        <v>87</v>
      </c>
      <c r="F210" s="2" t="s">
        <v>609</v>
      </c>
      <c r="G210" s="2" t="s">
        <v>88</v>
      </c>
      <c r="H210" s="2"/>
      <c r="I210" s="2"/>
      <c r="J210" s="2" t="s">
        <v>19</v>
      </c>
      <c r="K210" s="2"/>
      <c r="L210" s="2" t="s">
        <v>89</v>
      </c>
    </row>
    <row r="211" customFormat="false" ht="13.35" hidden="false" customHeight="true" outlineLevel="0" collapsed="false">
      <c r="A211" s="5" t="str">
        <f aca="false">HYPERLINK("https://www.fabsurplus.com/sdi_catalog/salesItemDetails.do?id=87973")</f>
        <v>https://www.fabsurplus.com/sdi_catalog/salesItemDetails.do?id=87973</v>
      </c>
      <c r="B211" s="5" t="s">
        <v>610</v>
      </c>
      <c r="C211" s="5" t="s">
        <v>598</v>
      </c>
      <c r="D211" s="5" t="s">
        <v>611</v>
      </c>
      <c r="E211" s="5" t="s">
        <v>87</v>
      </c>
      <c r="F211" s="5" t="s">
        <v>125</v>
      </c>
      <c r="G211" s="5" t="s">
        <v>88</v>
      </c>
      <c r="H211" s="5"/>
      <c r="I211" s="5"/>
      <c r="J211" s="5" t="s">
        <v>19</v>
      </c>
      <c r="K211" s="5"/>
      <c r="L211" s="5" t="s">
        <v>89</v>
      </c>
    </row>
    <row r="212" customFormat="false" ht="13.35" hidden="false" customHeight="true" outlineLevel="0" collapsed="false">
      <c r="A212" s="2" t="str">
        <f aca="false">HYPERLINK("https://www.fabsurplus.com/sdi_catalog/salesItemDetails.do?id=87974")</f>
        <v>https://www.fabsurplus.com/sdi_catalog/salesItemDetails.do?id=87974</v>
      </c>
      <c r="B212" s="2" t="s">
        <v>612</v>
      </c>
      <c r="C212" s="2" t="s">
        <v>598</v>
      </c>
      <c r="D212" s="2" t="s">
        <v>613</v>
      </c>
      <c r="E212" s="2" t="s">
        <v>87</v>
      </c>
      <c r="F212" s="2" t="s">
        <v>16</v>
      </c>
      <c r="G212" s="2" t="s">
        <v>88</v>
      </c>
      <c r="H212" s="2"/>
      <c r="I212" s="2"/>
      <c r="J212" s="2" t="s">
        <v>19</v>
      </c>
      <c r="K212" s="2"/>
      <c r="L212" s="2" t="s">
        <v>89</v>
      </c>
    </row>
    <row r="213" customFormat="false" ht="13.35" hidden="false" customHeight="true" outlineLevel="0" collapsed="false">
      <c r="A213" s="2" t="str">
        <f aca="false">HYPERLINK("https://www.fabsurplus.com/sdi_catalog/salesItemDetails.do?id=100908")</f>
        <v>https://www.fabsurplus.com/sdi_catalog/salesItemDetails.do?id=100908</v>
      </c>
      <c r="B213" s="2" t="s">
        <v>614</v>
      </c>
      <c r="C213" s="2" t="s">
        <v>615</v>
      </c>
      <c r="D213" s="2" t="s">
        <v>616</v>
      </c>
      <c r="E213" s="2" t="s">
        <v>617</v>
      </c>
      <c r="F213" s="2" t="s">
        <v>16</v>
      </c>
      <c r="G213" s="2" t="s">
        <v>17</v>
      </c>
      <c r="H213" s="2"/>
      <c r="I213" s="3" t="n">
        <v>38504</v>
      </c>
      <c r="J213" s="2" t="s">
        <v>19</v>
      </c>
      <c r="K213" s="2"/>
      <c r="L213" s="2" t="s">
        <v>618</v>
      </c>
    </row>
    <row r="214" customFormat="false" ht="13.35" hidden="false" customHeight="true" outlineLevel="0" collapsed="false">
      <c r="A214" s="2" t="str">
        <f aca="false">HYPERLINK("https://www.fabsurplus.com/sdi_catalog/salesItemDetails.do?id=101768")</f>
        <v>https://www.fabsurplus.com/sdi_catalog/salesItemDetails.do?id=101768</v>
      </c>
      <c r="B214" s="2" t="s">
        <v>619</v>
      </c>
      <c r="C214" s="2" t="s">
        <v>620</v>
      </c>
      <c r="D214" s="2" t="s">
        <v>621</v>
      </c>
      <c r="E214" s="2" t="s">
        <v>622</v>
      </c>
      <c r="F214" s="2" t="s">
        <v>16</v>
      </c>
      <c r="G214" s="2" t="s">
        <v>479</v>
      </c>
      <c r="H214" s="2" t="s">
        <v>18</v>
      </c>
      <c r="I214" s="3" t="n">
        <v>32387</v>
      </c>
      <c r="J214" s="2" t="s">
        <v>19</v>
      </c>
      <c r="K214" s="2" t="s">
        <v>20</v>
      </c>
      <c r="L214" s="4" t="s">
        <v>623</v>
      </c>
    </row>
    <row r="215" customFormat="false" ht="13.35" hidden="false" customHeight="true" outlineLevel="0" collapsed="false">
      <c r="A215" s="2" t="str">
        <f aca="false">HYPERLINK("https://www.fabsurplus.com/sdi_catalog/salesItemDetails.do?id=101634")</f>
        <v>https://www.fabsurplus.com/sdi_catalog/salesItemDetails.do?id=101634</v>
      </c>
      <c r="B215" s="2" t="s">
        <v>624</v>
      </c>
      <c r="C215" s="2" t="s">
        <v>620</v>
      </c>
      <c r="D215" s="2" t="s">
        <v>625</v>
      </c>
      <c r="E215" s="2" t="s">
        <v>626</v>
      </c>
      <c r="F215" s="2" t="s">
        <v>16</v>
      </c>
      <c r="G215" s="2" t="s">
        <v>154</v>
      </c>
      <c r="H215" s="2"/>
      <c r="I215" s="2"/>
      <c r="J215" s="2" t="s">
        <v>19</v>
      </c>
      <c r="K215" s="2"/>
      <c r="L215" s="2"/>
    </row>
    <row r="216" customFormat="false" ht="13.35" hidden="false" customHeight="true" outlineLevel="0" collapsed="false">
      <c r="A216" s="2" t="str">
        <f aca="false">HYPERLINK("https://www.fabsurplus.com/sdi_catalog/salesItemDetails.do?id=101635")</f>
        <v>https://www.fabsurplus.com/sdi_catalog/salesItemDetails.do?id=101635</v>
      </c>
      <c r="B216" s="2" t="s">
        <v>627</v>
      </c>
      <c r="C216" s="2" t="s">
        <v>620</v>
      </c>
      <c r="D216" s="2" t="s">
        <v>628</v>
      </c>
      <c r="E216" s="2" t="s">
        <v>629</v>
      </c>
      <c r="F216" s="2" t="s">
        <v>16</v>
      </c>
      <c r="G216" s="2" t="s">
        <v>154</v>
      </c>
      <c r="H216" s="2"/>
      <c r="I216" s="2"/>
      <c r="J216" s="2" t="s">
        <v>19</v>
      </c>
      <c r="K216" s="2"/>
      <c r="L216" s="2"/>
    </row>
    <row r="217" customFormat="false" ht="13.35" hidden="false" customHeight="true" outlineLevel="0" collapsed="false">
      <c r="A217" s="2" t="str">
        <f aca="false">HYPERLINK("https://www.fabsurplus.com/sdi_catalog/salesItemDetails.do?id=101636")</f>
        <v>https://www.fabsurplus.com/sdi_catalog/salesItemDetails.do?id=101636</v>
      </c>
      <c r="B217" s="2" t="s">
        <v>630</v>
      </c>
      <c r="C217" s="2" t="s">
        <v>620</v>
      </c>
      <c r="D217" s="2" t="s">
        <v>631</v>
      </c>
      <c r="E217" s="2" t="s">
        <v>632</v>
      </c>
      <c r="F217" s="2" t="s">
        <v>16</v>
      </c>
      <c r="G217" s="2" t="s">
        <v>154</v>
      </c>
      <c r="H217" s="2"/>
      <c r="I217" s="2"/>
      <c r="J217" s="2" t="s">
        <v>19</v>
      </c>
      <c r="K217" s="2"/>
      <c r="L217" s="2"/>
    </row>
    <row r="218" customFormat="false" ht="13.35" hidden="false" customHeight="true" outlineLevel="0" collapsed="false">
      <c r="A218" s="5" t="str">
        <f aca="false">HYPERLINK("https://www.fabsurplus.com/sdi_catalog/salesItemDetails.do?id=101637")</f>
        <v>https://www.fabsurplus.com/sdi_catalog/salesItemDetails.do?id=101637</v>
      </c>
      <c r="B218" s="5" t="s">
        <v>633</v>
      </c>
      <c r="C218" s="5" t="s">
        <v>620</v>
      </c>
      <c r="D218" s="5" t="s">
        <v>634</v>
      </c>
      <c r="E218" s="5" t="s">
        <v>635</v>
      </c>
      <c r="F218" s="5" t="s">
        <v>16</v>
      </c>
      <c r="G218" s="5" t="s">
        <v>154</v>
      </c>
      <c r="H218" s="5"/>
      <c r="I218" s="5"/>
      <c r="J218" s="5" t="s">
        <v>19</v>
      </c>
      <c r="K218" s="5"/>
      <c r="L218" s="5"/>
    </row>
    <row r="219" customFormat="false" ht="13.35" hidden="false" customHeight="true" outlineLevel="0" collapsed="false">
      <c r="A219" s="2" t="str">
        <f aca="false">HYPERLINK("https://www.fabsurplus.com/sdi_catalog/salesItemDetails.do?id=101638")</f>
        <v>https://www.fabsurplus.com/sdi_catalog/salesItemDetails.do?id=101638</v>
      </c>
      <c r="B219" s="2" t="s">
        <v>636</v>
      </c>
      <c r="C219" s="2" t="s">
        <v>620</v>
      </c>
      <c r="D219" s="2" t="s">
        <v>637</v>
      </c>
      <c r="E219" s="2" t="s">
        <v>638</v>
      </c>
      <c r="F219" s="2" t="s">
        <v>16</v>
      </c>
      <c r="G219" s="2" t="s">
        <v>154</v>
      </c>
      <c r="H219" s="2"/>
      <c r="I219" s="2"/>
      <c r="J219" s="2" t="s">
        <v>19</v>
      </c>
      <c r="K219" s="2"/>
      <c r="L219" s="2"/>
    </row>
    <row r="220" customFormat="false" ht="13.35" hidden="false" customHeight="true" outlineLevel="0" collapsed="false">
      <c r="A220" s="2" t="str">
        <f aca="false">HYPERLINK("https://www.fabsurplus.com/sdi_catalog/salesItemDetails.do?id=92058")</f>
        <v>https://www.fabsurplus.com/sdi_catalog/salesItemDetails.do?id=92058</v>
      </c>
      <c r="B220" s="2" t="s">
        <v>639</v>
      </c>
      <c r="C220" s="2" t="s">
        <v>620</v>
      </c>
      <c r="D220" s="2" t="s">
        <v>640</v>
      </c>
      <c r="E220" s="2" t="s">
        <v>641</v>
      </c>
      <c r="F220" s="2" t="s">
        <v>16</v>
      </c>
      <c r="G220" s="2" t="s">
        <v>149</v>
      </c>
      <c r="H220" s="2" t="s">
        <v>26</v>
      </c>
      <c r="I220" s="3" t="n">
        <v>34455</v>
      </c>
      <c r="J220" s="2" t="s">
        <v>19</v>
      </c>
      <c r="K220" s="2" t="s">
        <v>20</v>
      </c>
      <c r="L220" s="2" t="s">
        <v>642</v>
      </c>
    </row>
    <row r="221" customFormat="false" ht="13.35" hidden="false" customHeight="true" outlineLevel="0" collapsed="false">
      <c r="A221" s="2" t="str">
        <f aca="false">HYPERLINK("https://www.fabsurplus.com/sdi_catalog/salesItemDetails.do?id=102076")</f>
        <v>https://www.fabsurplus.com/sdi_catalog/salesItemDetails.do?id=102076</v>
      </c>
      <c r="B221" s="2" t="s">
        <v>643</v>
      </c>
      <c r="C221" s="2" t="s">
        <v>620</v>
      </c>
      <c r="D221" s="2" t="s">
        <v>644</v>
      </c>
      <c r="E221" s="2" t="s">
        <v>645</v>
      </c>
      <c r="F221" s="2" t="s">
        <v>16</v>
      </c>
      <c r="G221" s="2" t="s">
        <v>493</v>
      </c>
      <c r="H221" s="2"/>
      <c r="I221" s="3" t="n">
        <v>30103</v>
      </c>
      <c r="J221" s="2" t="s">
        <v>19</v>
      </c>
      <c r="K221" s="2"/>
      <c r="L221" s="2"/>
    </row>
    <row r="222" customFormat="false" ht="13.35" hidden="false" customHeight="true" outlineLevel="0" collapsed="false">
      <c r="A222" s="5" t="str">
        <f aca="false">HYPERLINK("https://www.fabsurplus.com/sdi_catalog/salesItemDetails.do?id=102077")</f>
        <v>https://www.fabsurplus.com/sdi_catalog/salesItemDetails.do?id=102077</v>
      </c>
      <c r="B222" s="5" t="s">
        <v>646</v>
      </c>
      <c r="C222" s="5" t="s">
        <v>620</v>
      </c>
      <c r="D222" s="5" t="s">
        <v>647</v>
      </c>
      <c r="E222" s="5" t="s">
        <v>645</v>
      </c>
      <c r="F222" s="5" t="s">
        <v>16</v>
      </c>
      <c r="G222" s="5" t="s">
        <v>493</v>
      </c>
      <c r="H222" s="5"/>
      <c r="I222" s="6" t="n">
        <v>33025</v>
      </c>
      <c r="J222" s="5" t="s">
        <v>19</v>
      </c>
      <c r="K222" s="5"/>
      <c r="L222" s="5"/>
    </row>
    <row r="223" customFormat="false" ht="13.35" hidden="false" customHeight="true" outlineLevel="0" collapsed="false">
      <c r="A223" s="2" t="str">
        <f aca="false">HYPERLINK("https://www.fabsurplus.com/sdi_catalog/salesItemDetails.do?id=102078")</f>
        <v>https://www.fabsurplus.com/sdi_catalog/salesItemDetails.do?id=102078</v>
      </c>
      <c r="B223" s="2" t="s">
        <v>648</v>
      </c>
      <c r="C223" s="2" t="s">
        <v>620</v>
      </c>
      <c r="D223" s="2" t="s">
        <v>649</v>
      </c>
      <c r="E223" s="2" t="s">
        <v>645</v>
      </c>
      <c r="F223" s="2" t="s">
        <v>16</v>
      </c>
      <c r="G223" s="2" t="s">
        <v>493</v>
      </c>
      <c r="H223" s="2"/>
      <c r="I223" s="3" t="n">
        <v>30468</v>
      </c>
      <c r="J223" s="2" t="s">
        <v>19</v>
      </c>
      <c r="K223" s="2"/>
      <c r="L223" s="2"/>
    </row>
    <row r="224" customFormat="false" ht="13.35" hidden="false" customHeight="true" outlineLevel="0" collapsed="false">
      <c r="A224" s="2" t="str">
        <f aca="false">HYPERLINK("https://www.fabsurplus.com/sdi_catalog/salesItemDetails.do?id=102079")</f>
        <v>https://www.fabsurplus.com/sdi_catalog/salesItemDetails.do?id=102079</v>
      </c>
      <c r="B224" s="2" t="s">
        <v>650</v>
      </c>
      <c r="C224" s="2" t="s">
        <v>620</v>
      </c>
      <c r="D224" s="2" t="s">
        <v>649</v>
      </c>
      <c r="E224" s="2" t="s">
        <v>645</v>
      </c>
      <c r="F224" s="2" t="s">
        <v>16</v>
      </c>
      <c r="G224" s="2" t="s">
        <v>493</v>
      </c>
      <c r="H224" s="2"/>
      <c r="I224" s="3" t="n">
        <v>37043</v>
      </c>
      <c r="J224" s="2" t="s">
        <v>19</v>
      </c>
      <c r="K224" s="2"/>
      <c r="L224" s="2"/>
    </row>
    <row r="225" customFormat="false" ht="13.35" hidden="false" customHeight="true" outlineLevel="0" collapsed="false">
      <c r="A225" s="5" t="str">
        <f aca="false">HYPERLINK("https://www.fabsurplus.com/sdi_catalog/salesItemDetails.do?id=101524")</f>
        <v>https://www.fabsurplus.com/sdi_catalog/salesItemDetails.do?id=101524</v>
      </c>
      <c r="B225" s="5" t="s">
        <v>651</v>
      </c>
      <c r="C225" s="5" t="s">
        <v>620</v>
      </c>
      <c r="D225" s="5" t="s">
        <v>652</v>
      </c>
      <c r="E225" s="5" t="s">
        <v>653</v>
      </c>
      <c r="F225" s="5" t="s">
        <v>16</v>
      </c>
      <c r="G225" s="5" t="s">
        <v>17</v>
      </c>
      <c r="H225" s="5"/>
      <c r="I225" s="6" t="n">
        <v>40969</v>
      </c>
      <c r="J225" s="5" t="s">
        <v>19</v>
      </c>
      <c r="K225" s="5"/>
      <c r="L225" s="7" t="s">
        <v>654</v>
      </c>
    </row>
    <row r="226" customFormat="false" ht="13.35" hidden="false" customHeight="true" outlineLevel="0" collapsed="false">
      <c r="A226" s="2" t="str">
        <f aca="false">HYPERLINK("https://www.fabsurplus.com/sdi_catalog/salesItemDetails.do?id=103054")</f>
        <v>https://www.fabsurplus.com/sdi_catalog/salesItemDetails.do?id=103054</v>
      </c>
      <c r="B226" s="2" t="s">
        <v>655</v>
      </c>
      <c r="C226" s="2" t="s">
        <v>620</v>
      </c>
      <c r="D226" s="2" t="s">
        <v>656</v>
      </c>
      <c r="E226" s="2" t="s">
        <v>657</v>
      </c>
      <c r="F226" s="2" t="s">
        <v>16</v>
      </c>
      <c r="G226" s="2" t="s">
        <v>658</v>
      </c>
      <c r="H226" s="2"/>
      <c r="I226" s="2"/>
      <c r="J226" s="2" t="s">
        <v>19</v>
      </c>
      <c r="K226" s="2"/>
      <c r="L226" s="4" t="s">
        <v>659</v>
      </c>
    </row>
    <row r="227" customFormat="false" ht="13.35" hidden="false" customHeight="true" outlineLevel="0" collapsed="false">
      <c r="A227" s="2" t="str">
        <f aca="false">HYPERLINK("https://www.fabsurplus.com/sdi_catalog/salesItemDetails.do?id=93032")</f>
        <v>https://www.fabsurplus.com/sdi_catalog/salesItemDetails.do?id=93032</v>
      </c>
      <c r="B227" s="2" t="s">
        <v>660</v>
      </c>
      <c r="C227" s="2" t="s">
        <v>620</v>
      </c>
      <c r="D227" s="2" t="s">
        <v>661</v>
      </c>
      <c r="E227" s="2" t="s">
        <v>662</v>
      </c>
      <c r="F227" s="2" t="s">
        <v>16</v>
      </c>
      <c r="G227" s="2" t="s">
        <v>663</v>
      </c>
      <c r="H227" s="2"/>
      <c r="I227" s="3" t="n">
        <v>40330</v>
      </c>
      <c r="J227" s="2" t="s">
        <v>19</v>
      </c>
      <c r="K227" s="2"/>
      <c r="L227" s="2" t="s">
        <v>112</v>
      </c>
    </row>
    <row r="228" customFormat="false" ht="13.35" hidden="false" customHeight="true" outlineLevel="0" collapsed="false">
      <c r="A228" s="5" t="str">
        <f aca="false">HYPERLINK("https://www.fabsurplus.com/sdi_catalog/salesItemDetails.do?id=102600")</f>
        <v>https://www.fabsurplus.com/sdi_catalog/salesItemDetails.do?id=102600</v>
      </c>
      <c r="B228" s="5" t="s">
        <v>664</v>
      </c>
      <c r="C228" s="5" t="s">
        <v>620</v>
      </c>
      <c r="D228" s="5" t="s">
        <v>665</v>
      </c>
      <c r="E228" s="5" t="s">
        <v>666</v>
      </c>
      <c r="F228" s="5" t="s">
        <v>16</v>
      </c>
      <c r="G228" s="5" t="s">
        <v>36</v>
      </c>
      <c r="H228" s="5" t="s">
        <v>26</v>
      </c>
      <c r="I228" s="5"/>
      <c r="J228" s="5" t="s">
        <v>19</v>
      </c>
      <c r="K228" s="5" t="s">
        <v>20</v>
      </c>
      <c r="L228" s="7" t="s">
        <v>667</v>
      </c>
    </row>
    <row r="229" customFormat="false" ht="13.35" hidden="false" customHeight="true" outlineLevel="0" collapsed="false">
      <c r="A229" s="2" t="str">
        <f aca="false">HYPERLINK("https://www.fabsurplus.com/sdi_catalog/salesItemDetails.do?id=91145")</f>
        <v>https://www.fabsurplus.com/sdi_catalog/salesItemDetails.do?id=91145</v>
      </c>
      <c r="B229" s="2" t="s">
        <v>668</v>
      </c>
      <c r="C229" s="2" t="s">
        <v>620</v>
      </c>
      <c r="D229" s="2" t="s">
        <v>669</v>
      </c>
      <c r="E229" s="2" t="s">
        <v>670</v>
      </c>
      <c r="F229" s="2" t="s">
        <v>16</v>
      </c>
      <c r="G229" s="2" t="s">
        <v>36</v>
      </c>
      <c r="H229" s="2"/>
      <c r="I229" s="2"/>
      <c r="J229" s="2" t="s">
        <v>19</v>
      </c>
      <c r="K229" s="2"/>
      <c r="L229" s="2" t="s">
        <v>112</v>
      </c>
    </row>
    <row r="230" customFormat="false" ht="13.35" hidden="false" customHeight="true" outlineLevel="0" collapsed="false">
      <c r="A230" s="2" t="str">
        <f aca="false">HYPERLINK("https://www.fabsurplus.com/sdi_catalog/salesItemDetails.do?id=91147")</f>
        <v>https://www.fabsurplus.com/sdi_catalog/salesItemDetails.do?id=91147</v>
      </c>
      <c r="B230" s="2" t="s">
        <v>671</v>
      </c>
      <c r="C230" s="2" t="s">
        <v>620</v>
      </c>
      <c r="D230" s="2" t="s">
        <v>669</v>
      </c>
      <c r="E230" s="2" t="s">
        <v>670</v>
      </c>
      <c r="F230" s="2" t="s">
        <v>16</v>
      </c>
      <c r="G230" s="2" t="s">
        <v>36</v>
      </c>
      <c r="H230" s="2"/>
      <c r="I230" s="2"/>
      <c r="J230" s="2" t="s">
        <v>19</v>
      </c>
      <c r="K230" s="2"/>
      <c r="L230" s="2" t="s">
        <v>112</v>
      </c>
    </row>
    <row r="231" customFormat="false" ht="13.35" hidden="false" customHeight="true" outlineLevel="0" collapsed="false">
      <c r="A231" s="5" t="str">
        <f aca="false">HYPERLINK("https://www.fabsurplus.com/sdi_catalog/salesItemDetails.do?id=91150")</f>
        <v>https://www.fabsurplus.com/sdi_catalog/salesItemDetails.do?id=91150</v>
      </c>
      <c r="B231" s="5" t="s">
        <v>672</v>
      </c>
      <c r="C231" s="5" t="s">
        <v>620</v>
      </c>
      <c r="D231" s="5" t="s">
        <v>669</v>
      </c>
      <c r="E231" s="5" t="s">
        <v>670</v>
      </c>
      <c r="F231" s="5" t="s">
        <v>16</v>
      </c>
      <c r="G231" s="5" t="s">
        <v>36</v>
      </c>
      <c r="H231" s="5"/>
      <c r="I231" s="5"/>
      <c r="J231" s="5" t="s">
        <v>19</v>
      </c>
      <c r="K231" s="5"/>
      <c r="L231" s="5" t="s">
        <v>112</v>
      </c>
    </row>
    <row r="232" customFormat="false" ht="13.35" hidden="false" customHeight="true" outlineLevel="0" collapsed="false">
      <c r="A232" s="2" t="str">
        <f aca="false">HYPERLINK("https://www.fabsurplus.com/sdi_catalog/salesItemDetails.do?id=91263")</f>
        <v>https://www.fabsurplus.com/sdi_catalog/salesItemDetails.do?id=91263</v>
      </c>
      <c r="B232" s="2" t="s">
        <v>673</v>
      </c>
      <c r="C232" s="2" t="s">
        <v>620</v>
      </c>
      <c r="D232" s="2" t="s">
        <v>669</v>
      </c>
      <c r="E232" s="2" t="s">
        <v>674</v>
      </c>
      <c r="F232" s="2" t="s">
        <v>16</v>
      </c>
      <c r="G232" s="2" t="s">
        <v>36</v>
      </c>
      <c r="H232" s="2"/>
      <c r="I232" s="3" t="n">
        <v>36678</v>
      </c>
      <c r="J232" s="2" t="s">
        <v>19</v>
      </c>
      <c r="K232" s="2"/>
      <c r="L232" s="2" t="s">
        <v>112</v>
      </c>
    </row>
    <row r="233" customFormat="false" ht="13.35" hidden="false" customHeight="true" outlineLevel="0" collapsed="false">
      <c r="A233" s="2" t="str">
        <f aca="false">HYPERLINK("https://www.fabsurplus.com/sdi_catalog/salesItemDetails.do?id=91152")</f>
        <v>https://www.fabsurplus.com/sdi_catalog/salesItemDetails.do?id=91152</v>
      </c>
      <c r="B233" s="2" t="s">
        <v>675</v>
      </c>
      <c r="C233" s="2" t="s">
        <v>620</v>
      </c>
      <c r="D233" s="2" t="s">
        <v>669</v>
      </c>
      <c r="E233" s="2" t="s">
        <v>676</v>
      </c>
      <c r="F233" s="2" t="s">
        <v>16</v>
      </c>
      <c r="G233" s="2" t="s">
        <v>36</v>
      </c>
      <c r="H233" s="2"/>
      <c r="I233" s="3" t="n">
        <v>35582</v>
      </c>
      <c r="J233" s="2" t="s">
        <v>19</v>
      </c>
      <c r="K233" s="2"/>
      <c r="L233" s="2" t="s">
        <v>112</v>
      </c>
    </row>
    <row r="234" customFormat="false" ht="13.35" hidden="false" customHeight="true" outlineLevel="0" collapsed="false">
      <c r="A234" s="5" t="str">
        <f aca="false">HYPERLINK("https://www.fabsurplus.com/sdi_catalog/salesItemDetails.do?id=91148")</f>
        <v>https://www.fabsurplus.com/sdi_catalog/salesItemDetails.do?id=91148</v>
      </c>
      <c r="B234" s="5" t="s">
        <v>677</v>
      </c>
      <c r="C234" s="5" t="s">
        <v>620</v>
      </c>
      <c r="D234" s="5" t="s">
        <v>669</v>
      </c>
      <c r="E234" s="5" t="s">
        <v>678</v>
      </c>
      <c r="F234" s="5" t="s">
        <v>16</v>
      </c>
      <c r="G234" s="5" t="s">
        <v>36</v>
      </c>
      <c r="H234" s="5"/>
      <c r="I234" s="6" t="n">
        <v>35217</v>
      </c>
      <c r="J234" s="5" t="s">
        <v>19</v>
      </c>
      <c r="K234" s="5"/>
      <c r="L234" s="5" t="s">
        <v>112</v>
      </c>
    </row>
    <row r="235" customFormat="false" ht="13.35" hidden="false" customHeight="true" outlineLevel="0" collapsed="false">
      <c r="A235" s="5" t="str">
        <f aca="false">HYPERLINK("https://www.fabsurplus.com/sdi_catalog/salesItemDetails.do?id=94434")</f>
        <v>https://www.fabsurplus.com/sdi_catalog/salesItemDetails.do?id=94434</v>
      </c>
      <c r="B235" s="5" t="s">
        <v>679</v>
      </c>
      <c r="C235" s="5" t="s">
        <v>620</v>
      </c>
      <c r="D235" s="5" t="s">
        <v>669</v>
      </c>
      <c r="E235" s="5" t="s">
        <v>680</v>
      </c>
      <c r="F235" s="5" t="s">
        <v>16</v>
      </c>
      <c r="G235" s="5" t="s">
        <v>36</v>
      </c>
      <c r="H235" s="5"/>
      <c r="I235" s="5"/>
      <c r="J235" s="5" t="s">
        <v>19</v>
      </c>
      <c r="K235" s="5"/>
      <c r="L235" s="5" t="s">
        <v>681</v>
      </c>
    </row>
    <row r="236" customFormat="false" ht="13.35" hidden="false" customHeight="true" outlineLevel="0" collapsed="false">
      <c r="A236" s="5" t="str">
        <f aca="false">HYPERLINK("https://www.fabsurplus.com/sdi_catalog/salesItemDetails.do?id=91261")</f>
        <v>https://www.fabsurplus.com/sdi_catalog/salesItemDetails.do?id=91261</v>
      </c>
      <c r="B236" s="5" t="s">
        <v>682</v>
      </c>
      <c r="C236" s="5" t="s">
        <v>620</v>
      </c>
      <c r="D236" s="5" t="s">
        <v>669</v>
      </c>
      <c r="E236" s="5" t="s">
        <v>683</v>
      </c>
      <c r="F236" s="5" t="s">
        <v>16</v>
      </c>
      <c r="G236" s="5" t="s">
        <v>493</v>
      </c>
      <c r="H236" s="5"/>
      <c r="I236" s="5"/>
      <c r="J236" s="5" t="s">
        <v>19</v>
      </c>
      <c r="K236" s="5"/>
      <c r="L236" s="5" t="s">
        <v>112</v>
      </c>
    </row>
    <row r="237" customFormat="false" ht="13.35" hidden="false" customHeight="true" outlineLevel="0" collapsed="false">
      <c r="A237" s="5" t="str">
        <f aca="false">HYPERLINK("https://www.fabsurplus.com/sdi_catalog/salesItemDetails.do?id=91269")</f>
        <v>https://www.fabsurplus.com/sdi_catalog/salesItemDetails.do?id=91269</v>
      </c>
      <c r="B237" s="5" t="s">
        <v>684</v>
      </c>
      <c r="C237" s="5" t="s">
        <v>620</v>
      </c>
      <c r="D237" s="5" t="s">
        <v>669</v>
      </c>
      <c r="E237" s="5" t="s">
        <v>685</v>
      </c>
      <c r="F237" s="5" t="s">
        <v>16</v>
      </c>
      <c r="G237" s="5" t="s">
        <v>36</v>
      </c>
      <c r="H237" s="5"/>
      <c r="I237" s="5"/>
      <c r="J237" s="5" t="s">
        <v>19</v>
      </c>
      <c r="K237" s="5"/>
      <c r="L237" s="5" t="s">
        <v>112</v>
      </c>
    </row>
    <row r="238" customFormat="false" ht="13.35" hidden="false" customHeight="true" outlineLevel="0" collapsed="false">
      <c r="A238" s="5" t="str">
        <f aca="false">HYPERLINK("https://www.fabsurplus.com/sdi_catalog/salesItemDetails.do?id=91270")</f>
        <v>https://www.fabsurplus.com/sdi_catalog/salesItemDetails.do?id=91270</v>
      </c>
      <c r="B238" s="5" t="s">
        <v>686</v>
      </c>
      <c r="C238" s="5" t="s">
        <v>620</v>
      </c>
      <c r="D238" s="5" t="s">
        <v>669</v>
      </c>
      <c r="E238" s="5" t="s">
        <v>685</v>
      </c>
      <c r="F238" s="5" t="s">
        <v>16</v>
      </c>
      <c r="G238" s="5" t="s">
        <v>36</v>
      </c>
      <c r="H238" s="5"/>
      <c r="I238" s="5"/>
      <c r="J238" s="5" t="s">
        <v>19</v>
      </c>
      <c r="K238" s="5"/>
      <c r="L238" s="5" t="s">
        <v>112</v>
      </c>
    </row>
    <row r="239" customFormat="false" ht="13.35" hidden="false" customHeight="true" outlineLevel="0" collapsed="false">
      <c r="A239" s="2" t="str">
        <f aca="false">HYPERLINK("https://www.fabsurplus.com/sdi_catalog/salesItemDetails.do?id=91262")</f>
        <v>https://www.fabsurplus.com/sdi_catalog/salesItemDetails.do?id=91262</v>
      </c>
      <c r="B239" s="2" t="s">
        <v>687</v>
      </c>
      <c r="C239" s="2" t="s">
        <v>620</v>
      </c>
      <c r="D239" s="2" t="s">
        <v>669</v>
      </c>
      <c r="E239" s="2" t="s">
        <v>688</v>
      </c>
      <c r="F239" s="2" t="s">
        <v>16</v>
      </c>
      <c r="G239" s="2" t="s">
        <v>36</v>
      </c>
      <c r="H239" s="2"/>
      <c r="I239" s="2"/>
      <c r="J239" s="2" t="s">
        <v>19</v>
      </c>
      <c r="K239" s="2"/>
      <c r="L239" s="2" t="s">
        <v>112</v>
      </c>
    </row>
    <row r="240" customFormat="false" ht="13.35" hidden="false" customHeight="true" outlineLevel="0" collapsed="false">
      <c r="A240" s="2" t="str">
        <f aca="false">HYPERLINK("https://www.fabsurplus.com/sdi_catalog/salesItemDetails.do?id=91260")</f>
        <v>https://www.fabsurplus.com/sdi_catalog/salesItemDetails.do?id=91260</v>
      </c>
      <c r="B240" s="2" t="s">
        <v>689</v>
      </c>
      <c r="C240" s="2" t="s">
        <v>620</v>
      </c>
      <c r="D240" s="2" t="s">
        <v>669</v>
      </c>
      <c r="E240" s="2" t="s">
        <v>690</v>
      </c>
      <c r="F240" s="2" t="s">
        <v>16</v>
      </c>
      <c r="G240" s="2" t="s">
        <v>36</v>
      </c>
      <c r="H240" s="2"/>
      <c r="I240" s="2"/>
      <c r="J240" s="2" t="s">
        <v>19</v>
      </c>
      <c r="K240" s="2"/>
      <c r="L240" s="2" t="s">
        <v>112</v>
      </c>
    </row>
    <row r="241" customFormat="false" ht="13.35" hidden="false" customHeight="true" outlineLevel="0" collapsed="false">
      <c r="A241" s="2" t="str">
        <f aca="false">HYPERLINK("https://www.fabsurplus.com/sdi_catalog/salesItemDetails.do?id=91264")</f>
        <v>https://www.fabsurplus.com/sdi_catalog/salesItemDetails.do?id=91264</v>
      </c>
      <c r="B241" s="2" t="s">
        <v>691</v>
      </c>
      <c r="C241" s="2" t="s">
        <v>620</v>
      </c>
      <c r="D241" s="2" t="s">
        <v>669</v>
      </c>
      <c r="E241" s="2" t="s">
        <v>692</v>
      </c>
      <c r="F241" s="2" t="s">
        <v>16</v>
      </c>
      <c r="G241" s="2" t="s">
        <v>36</v>
      </c>
      <c r="H241" s="2"/>
      <c r="I241" s="3" t="n">
        <v>36678</v>
      </c>
      <c r="J241" s="2" t="s">
        <v>19</v>
      </c>
      <c r="K241" s="2"/>
      <c r="L241" s="2" t="s">
        <v>112</v>
      </c>
    </row>
    <row r="242" customFormat="false" ht="13.35" hidden="false" customHeight="true" outlineLevel="0" collapsed="false">
      <c r="A242" s="2" t="str">
        <f aca="false">HYPERLINK("https://www.fabsurplus.com/sdi_catalog/salesItemDetails.do?id=91149")</f>
        <v>https://www.fabsurplus.com/sdi_catalog/salesItemDetails.do?id=91149</v>
      </c>
      <c r="B242" s="2" t="s">
        <v>693</v>
      </c>
      <c r="C242" s="2" t="s">
        <v>620</v>
      </c>
      <c r="D242" s="2" t="s">
        <v>669</v>
      </c>
      <c r="E242" s="2" t="s">
        <v>694</v>
      </c>
      <c r="F242" s="2" t="s">
        <v>16</v>
      </c>
      <c r="G242" s="2" t="s">
        <v>36</v>
      </c>
      <c r="H242" s="2"/>
      <c r="I242" s="3" t="n">
        <v>38504</v>
      </c>
      <c r="J242" s="2" t="s">
        <v>19</v>
      </c>
      <c r="K242" s="2"/>
      <c r="L242" s="2" t="s">
        <v>112</v>
      </c>
    </row>
    <row r="243" customFormat="false" ht="13.35" hidden="false" customHeight="true" outlineLevel="0" collapsed="false">
      <c r="A243" s="2" t="str">
        <f aca="false">HYPERLINK("https://www.fabsurplus.com/sdi_catalog/salesItemDetails.do?id=102855")</f>
        <v>https://www.fabsurplus.com/sdi_catalog/salesItemDetails.do?id=102855</v>
      </c>
      <c r="B243" s="2" t="s">
        <v>695</v>
      </c>
      <c r="C243" s="2" t="s">
        <v>620</v>
      </c>
      <c r="D243" s="2" t="s">
        <v>696</v>
      </c>
      <c r="E243" s="2" t="s">
        <v>697</v>
      </c>
      <c r="F243" s="2" t="s">
        <v>366</v>
      </c>
      <c r="G243" s="2" t="s">
        <v>36</v>
      </c>
      <c r="H243" s="2"/>
      <c r="I243" s="2"/>
      <c r="J243" s="2" t="s">
        <v>19</v>
      </c>
      <c r="K243" s="2"/>
      <c r="L243" s="2" t="s">
        <v>698</v>
      </c>
    </row>
    <row r="244" customFormat="false" ht="13.35" hidden="false" customHeight="true" outlineLevel="0" collapsed="false">
      <c r="A244" s="2" t="str">
        <f aca="false">HYPERLINK("https://www.fabsurplus.com/sdi_catalog/salesItemDetails.do?id=91146")</f>
        <v>https://www.fabsurplus.com/sdi_catalog/salesItemDetails.do?id=91146</v>
      </c>
      <c r="B244" s="2" t="s">
        <v>699</v>
      </c>
      <c r="C244" s="2" t="s">
        <v>620</v>
      </c>
      <c r="D244" s="2" t="s">
        <v>669</v>
      </c>
      <c r="E244" s="2" t="s">
        <v>700</v>
      </c>
      <c r="F244" s="2" t="s">
        <v>16</v>
      </c>
      <c r="G244" s="2" t="s">
        <v>36</v>
      </c>
      <c r="H244" s="2"/>
      <c r="I244" s="2"/>
      <c r="J244" s="2" t="s">
        <v>19</v>
      </c>
      <c r="K244" s="2"/>
      <c r="L244" s="2" t="s">
        <v>112</v>
      </c>
    </row>
    <row r="245" customFormat="false" ht="13.35" hidden="false" customHeight="true" outlineLevel="0" collapsed="false">
      <c r="A245" s="5" t="str">
        <f aca="false">HYPERLINK("https://www.fabsurplus.com/sdi_catalog/salesItemDetails.do?id=91153")</f>
        <v>https://www.fabsurplus.com/sdi_catalog/salesItemDetails.do?id=91153</v>
      </c>
      <c r="B245" s="5" t="s">
        <v>701</v>
      </c>
      <c r="C245" s="5" t="s">
        <v>620</v>
      </c>
      <c r="D245" s="5" t="s">
        <v>669</v>
      </c>
      <c r="E245" s="5" t="s">
        <v>700</v>
      </c>
      <c r="F245" s="5" t="s">
        <v>16</v>
      </c>
      <c r="G245" s="5" t="s">
        <v>36</v>
      </c>
      <c r="H245" s="5"/>
      <c r="I245" s="5"/>
      <c r="J245" s="5" t="s">
        <v>19</v>
      </c>
      <c r="K245" s="5"/>
      <c r="L245" s="5" t="s">
        <v>112</v>
      </c>
    </row>
    <row r="246" customFormat="false" ht="13.35" hidden="false" customHeight="true" outlineLevel="0" collapsed="false">
      <c r="A246" s="2" t="str">
        <f aca="false">HYPERLINK("https://www.fabsurplus.com/sdi_catalog/salesItemDetails.do?id=102856")</f>
        <v>https://www.fabsurplus.com/sdi_catalog/salesItemDetails.do?id=102856</v>
      </c>
      <c r="B246" s="2" t="s">
        <v>702</v>
      </c>
      <c r="C246" s="2" t="s">
        <v>620</v>
      </c>
      <c r="D246" s="2" t="s">
        <v>703</v>
      </c>
      <c r="E246" s="2" t="s">
        <v>704</v>
      </c>
      <c r="F246" s="2" t="s">
        <v>16</v>
      </c>
      <c r="G246" s="2" t="s">
        <v>17</v>
      </c>
      <c r="H246" s="2"/>
      <c r="I246" s="3" t="n">
        <v>39600</v>
      </c>
      <c r="J246" s="2" t="s">
        <v>19</v>
      </c>
      <c r="K246" s="2"/>
      <c r="L246" s="2" t="s">
        <v>705</v>
      </c>
    </row>
    <row r="247" customFormat="false" ht="13.35" hidden="false" customHeight="true" outlineLevel="0" collapsed="false">
      <c r="A247" s="5" t="str">
        <f aca="false">HYPERLINK("https://www.fabsurplus.com/sdi_catalog/salesItemDetails.do?id=97849")</f>
        <v>https://www.fabsurplus.com/sdi_catalog/salesItemDetails.do?id=97849</v>
      </c>
      <c r="B247" s="5" t="s">
        <v>706</v>
      </c>
      <c r="C247" s="5" t="s">
        <v>620</v>
      </c>
      <c r="D247" s="5" t="s">
        <v>707</v>
      </c>
      <c r="E247" s="5" t="s">
        <v>708</v>
      </c>
      <c r="F247" s="5" t="s">
        <v>16</v>
      </c>
      <c r="G247" s="5" t="s">
        <v>17</v>
      </c>
      <c r="H247" s="5"/>
      <c r="I247" s="6" t="n">
        <v>40330</v>
      </c>
      <c r="J247" s="5" t="s">
        <v>19</v>
      </c>
      <c r="K247" s="5"/>
      <c r="L247" s="5"/>
    </row>
    <row r="248" customFormat="false" ht="13.35" hidden="false" customHeight="true" outlineLevel="0" collapsed="false">
      <c r="A248" s="5" t="str">
        <f aca="false">HYPERLINK("https://www.fabsurplus.com/sdi_catalog/salesItemDetails.do?id=102468")</f>
        <v>https://www.fabsurplus.com/sdi_catalog/salesItemDetails.do?id=102468</v>
      </c>
      <c r="B248" s="5" t="s">
        <v>709</v>
      </c>
      <c r="C248" s="5" t="s">
        <v>620</v>
      </c>
      <c r="D248" s="5" t="s">
        <v>710</v>
      </c>
      <c r="E248" s="5" t="s">
        <v>711</v>
      </c>
      <c r="F248" s="5" t="s">
        <v>16</v>
      </c>
      <c r="G248" s="5" t="s">
        <v>36</v>
      </c>
      <c r="H248" s="5" t="s">
        <v>18</v>
      </c>
      <c r="I248" s="5"/>
      <c r="J248" s="5" t="s">
        <v>19</v>
      </c>
      <c r="K248" s="5" t="s">
        <v>20</v>
      </c>
      <c r="L248" s="7" t="s">
        <v>712</v>
      </c>
    </row>
    <row r="249" customFormat="false" ht="13.35" hidden="false" customHeight="true" outlineLevel="0" collapsed="false">
      <c r="A249" s="2" t="str">
        <f aca="false">HYPERLINK("https://www.fabsurplus.com/sdi_catalog/salesItemDetails.do?id=102495")</f>
        <v>https://www.fabsurplus.com/sdi_catalog/salesItemDetails.do?id=102495</v>
      </c>
      <c r="B249" s="2" t="s">
        <v>713</v>
      </c>
      <c r="C249" s="2" t="s">
        <v>620</v>
      </c>
      <c r="D249" s="2" t="s">
        <v>714</v>
      </c>
      <c r="E249" s="2" t="s">
        <v>715</v>
      </c>
      <c r="F249" s="2" t="s">
        <v>16</v>
      </c>
      <c r="G249" s="2" t="s">
        <v>36</v>
      </c>
      <c r="H249" s="2" t="s">
        <v>26</v>
      </c>
      <c r="I249" s="2"/>
      <c r="J249" s="2" t="s">
        <v>19</v>
      </c>
      <c r="K249" s="2" t="s">
        <v>20</v>
      </c>
      <c r="L249" s="4" t="s">
        <v>716</v>
      </c>
    </row>
    <row r="250" customFormat="false" ht="13.35" hidden="false" customHeight="true" outlineLevel="0" collapsed="false">
      <c r="A250" s="2" t="str">
        <f aca="false">HYPERLINK("https://www.fabsurplus.com/sdi_catalog/salesItemDetails.do?id=95928")</f>
        <v>https://www.fabsurplus.com/sdi_catalog/salesItemDetails.do?id=95928</v>
      </c>
      <c r="B250" s="2" t="s">
        <v>717</v>
      </c>
      <c r="C250" s="2" t="s">
        <v>620</v>
      </c>
      <c r="D250" s="2" t="s">
        <v>718</v>
      </c>
      <c r="E250" s="2" t="s">
        <v>719</v>
      </c>
      <c r="F250" s="2" t="s">
        <v>16</v>
      </c>
      <c r="G250" s="2" t="s">
        <v>17</v>
      </c>
      <c r="H250" s="2" t="s">
        <v>26</v>
      </c>
      <c r="I250" s="3" t="n">
        <v>41426</v>
      </c>
      <c r="J250" s="2" t="s">
        <v>19</v>
      </c>
      <c r="K250" s="2" t="s">
        <v>20</v>
      </c>
      <c r="L250" s="4" t="s">
        <v>720</v>
      </c>
    </row>
    <row r="251" customFormat="false" ht="13.35" hidden="false" customHeight="true" outlineLevel="0" collapsed="false">
      <c r="A251" s="5" t="str">
        <f aca="false">HYPERLINK("https://www.fabsurplus.com/sdi_catalog/salesItemDetails.do?id=103055")</f>
        <v>https://www.fabsurplus.com/sdi_catalog/salesItemDetails.do?id=103055</v>
      </c>
      <c r="B251" s="5" t="s">
        <v>721</v>
      </c>
      <c r="C251" s="5" t="s">
        <v>620</v>
      </c>
      <c r="D251" s="5" t="s">
        <v>722</v>
      </c>
      <c r="E251" s="5" t="s">
        <v>723</v>
      </c>
      <c r="F251" s="5" t="s">
        <v>16</v>
      </c>
      <c r="G251" s="5" t="s">
        <v>658</v>
      </c>
      <c r="H251" s="5"/>
      <c r="I251" s="5"/>
      <c r="J251" s="5" t="s">
        <v>19</v>
      </c>
      <c r="K251" s="5"/>
      <c r="L251" s="5"/>
    </row>
    <row r="252" customFormat="false" ht="13.35" hidden="false" customHeight="true" outlineLevel="0" collapsed="false">
      <c r="A252" s="5" t="str">
        <f aca="false">HYPERLINK("https://www.fabsurplus.com/sdi_catalog/salesItemDetails.do?id=103056")</f>
        <v>https://www.fabsurplus.com/sdi_catalog/salesItemDetails.do?id=103056</v>
      </c>
      <c r="B252" s="5" t="s">
        <v>724</v>
      </c>
      <c r="C252" s="5" t="s">
        <v>620</v>
      </c>
      <c r="D252" s="5" t="s">
        <v>725</v>
      </c>
      <c r="E252" s="5" t="s">
        <v>726</v>
      </c>
      <c r="F252" s="5" t="s">
        <v>16</v>
      </c>
      <c r="G252" s="5" t="s">
        <v>658</v>
      </c>
      <c r="H252" s="5"/>
      <c r="I252" s="6" t="n">
        <v>41974</v>
      </c>
      <c r="J252" s="5" t="s">
        <v>19</v>
      </c>
      <c r="K252" s="5"/>
      <c r="L252" s="7" t="s">
        <v>727</v>
      </c>
    </row>
    <row r="253" customFormat="false" ht="13.35" hidden="false" customHeight="true" outlineLevel="0" collapsed="false">
      <c r="A253" s="2" t="str">
        <f aca="false">HYPERLINK("https://www.fabsurplus.com/sdi_catalog/salesItemDetails.do?id=103057")</f>
        <v>https://www.fabsurplus.com/sdi_catalog/salesItemDetails.do?id=103057</v>
      </c>
      <c r="B253" s="2" t="s">
        <v>728</v>
      </c>
      <c r="C253" s="2" t="s">
        <v>620</v>
      </c>
      <c r="D253" s="2" t="s">
        <v>725</v>
      </c>
      <c r="E253" s="2" t="s">
        <v>726</v>
      </c>
      <c r="F253" s="2" t="s">
        <v>16</v>
      </c>
      <c r="G253" s="2" t="s">
        <v>658</v>
      </c>
      <c r="H253" s="2"/>
      <c r="I253" s="3" t="n">
        <v>41974</v>
      </c>
      <c r="J253" s="2" t="s">
        <v>19</v>
      </c>
      <c r="K253" s="2"/>
      <c r="L253" s="4" t="s">
        <v>729</v>
      </c>
    </row>
    <row r="254" customFormat="false" ht="13.35" hidden="false" customHeight="true" outlineLevel="0" collapsed="false">
      <c r="A254" s="2" t="str">
        <f aca="false">HYPERLINK("https://www.fabsurplus.com/sdi_catalog/salesItemDetails.do?id=102080")</f>
        <v>https://www.fabsurplus.com/sdi_catalog/salesItemDetails.do?id=102080</v>
      </c>
      <c r="B254" s="2" t="s">
        <v>730</v>
      </c>
      <c r="C254" s="2" t="s">
        <v>620</v>
      </c>
      <c r="D254" s="2" t="s">
        <v>731</v>
      </c>
      <c r="E254" s="2" t="s">
        <v>732</v>
      </c>
      <c r="F254" s="2" t="s">
        <v>16</v>
      </c>
      <c r="G254" s="2" t="s">
        <v>17</v>
      </c>
      <c r="H254" s="2"/>
      <c r="I254" s="3" t="n">
        <v>39600</v>
      </c>
      <c r="J254" s="2" t="s">
        <v>19</v>
      </c>
      <c r="K254" s="2"/>
      <c r="L254" s="2"/>
    </row>
    <row r="255" customFormat="false" ht="13.35" hidden="false" customHeight="true" outlineLevel="0" collapsed="false">
      <c r="A255" s="2" t="str">
        <f aca="false">HYPERLINK("https://www.fabsurplus.com/sdi_catalog/salesItemDetails.do?id=102081")</f>
        <v>https://www.fabsurplus.com/sdi_catalog/salesItemDetails.do?id=102081</v>
      </c>
      <c r="B255" s="2" t="s">
        <v>733</v>
      </c>
      <c r="C255" s="2" t="s">
        <v>620</v>
      </c>
      <c r="D255" s="2" t="s">
        <v>734</v>
      </c>
      <c r="E255" s="2" t="s">
        <v>735</v>
      </c>
      <c r="F255" s="2" t="s">
        <v>16</v>
      </c>
      <c r="G255" s="2" t="s">
        <v>17</v>
      </c>
      <c r="H255" s="2"/>
      <c r="I255" s="2"/>
      <c r="J255" s="2" t="s">
        <v>19</v>
      </c>
      <c r="K255" s="2"/>
      <c r="L255" s="2"/>
    </row>
    <row r="256" customFormat="false" ht="13.35" hidden="false" customHeight="true" outlineLevel="0" collapsed="false">
      <c r="A256" s="2" t="str">
        <f aca="false">HYPERLINK("https://www.fabsurplus.com/sdi_catalog/salesItemDetails.do?id=100031")</f>
        <v>https://www.fabsurplus.com/sdi_catalog/salesItemDetails.do?id=100031</v>
      </c>
      <c r="B256" s="2" t="s">
        <v>736</v>
      </c>
      <c r="C256" s="2" t="s">
        <v>620</v>
      </c>
      <c r="D256" s="2" t="s">
        <v>737</v>
      </c>
      <c r="E256" s="2" t="s">
        <v>738</v>
      </c>
      <c r="F256" s="2" t="s">
        <v>16</v>
      </c>
      <c r="G256" s="2" t="s">
        <v>17</v>
      </c>
      <c r="H256" s="2"/>
      <c r="I256" s="3" t="n">
        <v>38869</v>
      </c>
      <c r="J256" s="2" t="s">
        <v>19</v>
      </c>
      <c r="K256" s="2"/>
      <c r="L256" s="4" t="s">
        <v>439</v>
      </c>
    </row>
    <row r="257" customFormat="false" ht="13.35" hidden="false" customHeight="true" outlineLevel="0" collapsed="false">
      <c r="A257" s="2" t="str">
        <f aca="false">HYPERLINK("https://www.fabsurplus.com/sdi_catalog/salesItemDetails.do?id=100032")</f>
        <v>https://www.fabsurplus.com/sdi_catalog/salesItemDetails.do?id=100032</v>
      </c>
      <c r="B257" s="2" t="s">
        <v>739</v>
      </c>
      <c r="C257" s="2" t="s">
        <v>620</v>
      </c>
      <c r="D257" s="2" t="s">
        <v>740</v>
      </c>
      <c r="E257" s="2" t="s">
        <v>738</v>
      </c>
      <c r="F257" s="2" t="s">
        <v>16</v>
      </c>
      <c r="G257" s="2" t="s">
        <v>17</v>
      </c>
      <c r="H257" s="2" t="s">
        <v>26</v>
      </c>
      <c r="I257" s="3" t="n">
        <v>39600</v>
      </c>
      <c r="J257" s="2" t="s">
        <v>19</v>
      </c>
      <c r="K257" s="2" t="s">
        <v>20</v>
      </c>
      <c r="L257" s="4" t="s">
        <v>741</v>
      </c>
    </row>
    <row r="258" customFormat="false" ht="13.35" hidden="false" customHeight="true" outlineLevel="0" collapsed="false">
      <c r="A258" s="2" t="str">
        <f aca="false">HYPERLINK("https://www.fabsurplus.com/sdi_catalog/salesItemDetails.do?id=94435")</f>
        <v>https://www.fabsurplus.com/sdi_catalog/salesItemDetails.do?id=94435</v>
      </c>
      <c r="B258" s="2" t="s">
        <v>742</v>
      </c>
      <c r="C258" s="2" t="s">
        <v>620</v>
      </c>
      <c r="D258" s="2" t="s">
        <v>743</v>
      </c>
      <c r="E258" s="2" t="s">
        <v>744</v>
      </c>
      <c r="F258" s="2" t="s">
        <v>16</v>
      </c>
      <c r="G258" s="2" t="s">
        <v>17</v>
      </c>
      <c r="H258" s="2"/>
      <c r="I258" s="2"/>
      <c r="J258" s="2" t="s">
        <v>19</v>
      </c>
      <c r="K258" s="2"/>
      <c r="L258" s="2" t="s">
        <v>745</v>
      </c>
    </row>
    <row r="259" customFormat="false" ht="13.35" hidden="false" customHeight="true" outlineLevel="0" collapsed="false">
      <c r="A259" s="2" t="str">
        <f aca="false">HYPERLINK("https://www.fabsurplus.com/sdi_catalog/salesItemDetails.do?id=91276")</f>
        <v>https://www.fabsurplus.com/sdi_catalog/salesItemDetails.do?id=91276</v>
      </c>
      <c r="B259" s="2" t="s">
        <v>746</v>
      </c>
      <c r="C259" s="2" t="s">
        <v>620</v>
      </c>
      <c r="D259" s="2" t="s">
        <v>747</v>
      </c>
      <c r="E259" s="2" t="s">
        <v>748</v>
      </c>
      <c r="F259" s="2" t="s">
        <v>16</v>
      </c>
      <c r="G259" s="2" t="s">
        <v>17</v>
      </c>
      <c r="H259" s="2"/>
      <c r="I259" s="2"/>
      <c r="J259" s="2" t="s">
        <v>19</v>
      </c>
      <c r="K259" s="2"/>
      <c r="L259" s="2" t="s">
        <v>112</v>
      </c>
    </row>
    <row r="260" customFormat="false" ht="13.35" hidden="false" customHeight="true" outlineLevel="0" collapsed="false">
      <c r="A260" s="2" t="str">
        <f aca="false">HYPERLINK("https://www.fabsurplus.com/sdi_catalog/salesItemDetails.do?id=98555")</f>
        <v>https://www.fabsurplus.com/sdi_catalog/salesItemDetails.do?id=98555</v>
      </c>
      <c r="B260" s="2" t="s">
        <v>749</v>
      </c>
      <c r="C260" s="2" t="s">
        <v>620</v>
      </c>
      <c r="D260" s="2" t="s">
        <v>750</v>
      </c>
      <c r="E260" s="2" t="s">
        <v>751</v>
      </c>
      <c r="F260" s="2" t="s">
        <v>16</v>
      </c>
      <c r="G260" s="2" t="s">
        <v>17</v>
      </c>
      <c r="H260" s="2"/>
      <c r="I260" s="2"/>
      <c r="J260" s="2" t="s">
        <v>19</v>
      </c>
      <c r="K260" s="2"/>
      <c r="L260" s="4" t="s">
        <v>752</v>
      </c>
    </row>
    <row r="261" customFormat="false" ht="13.35" hidden="false" customHeight="true" outlineLevel="0" collapsed="false">
      <c r="A261" s="5" t="str">
        <f aca="false">HYPERLINK("https://www.fabsurplus.com/sdi_catalog/salesItemDetails.do?id=98556")</f>
        <v>https://www.fabsurplus.com/sdi_catalog/salesItemDetails.do?id=98556</v>
      </c>
      <c r="B261" s="5" t="s">
        <v>753</v>
      </c>
      <c r="C261" s="5" t="s">
        <v>620</v>
      </c>
      <c r="D261" s="5" t="s">
        <v>750</v>
      </c>
      <c r="E261" s="5" t="s">
        <v>751</v>
      </c>
      <c r="F261" s="5" t="s">
        <v>16</v>
      </c>
      <c r="G261" s="5" t="s">
        <v>17</v>
      </c>
      <c r="H261" s="5"/>
      <c r="I261" s="5"/>
      <c r="J261" s="5" t="s">
        <v>19</v>
      </c>
      <c r="K261" s="5"/>
      <c r="L261" s="7" t="s">
        <v>754</v>
      </c>
    </row>
    <row r="262" customFormat="false" ht="13.35" hidden="false" customHeight="true" outlineLevel="0" collapsed="false">
      <c r="A262" s="2" t="str">
        <f aca="false">HYPERLINK("https://www.fabsurplus.com/sdi_catalog/salesItemDetails.do?id=98557")</f>
        <v>https://www.fabsurplus.com/sdi_catalog/salesItemDetails.do?id=98557</v>
      </c>
      <c r="B262" s="2" t="s">
        <v>755</v>
      </c>
      <c r="C262" s="2" t="s">
        <v>620</v>
      </c>
      <c r="D262" s="2" t="s">
        <v>750</v>
      </c>
      <c r="E262" s="2" t="s">
        <v>751</v>
      </c>
      <c r="F262" s="2" t="s">
        <v>16</v>
      </c>
      <c r="G262" s="2" t="s">
        <v>17</v>
      </c>
      <c r="H262" s="2"/>
      <c r="I262" s="2"/>
      <c r="J262" s="2" t="s">
        <v>19</v>
      </c>
      <c r="K262" s="2"/>
      <c r="L262" s="4" t="s">
        <v>754</v>
      </c>
    </row>
    <row r="263" customFormat="false" ht="13.35" hidden="false" customHeight="true" outlineLevel="0" collapsed="false">
      <c r="A263" s="2" t="str">
        <f aca="false">HYPERLINK("https://www.fabsurplus.com/sdi_catalog/salesItemDetails.do?id=91277")</f>
        <v>https://www.fabsurplus.com/sdi_catalog/salesItemDetails.do?id=91277</v>
      </c>
      <c r="B263" s="2" t="s">
        <v>756</v>
      </c>
      <c r="C263" s="2" t="s">
        <v>620</v>
      </c>
      <c r="D263" s="2" t="s">
        <v>757</v>
      </c>
      <c r="E263" s="2" t="s">
        <v>758</v>
      </c>
      <c r="F263" s="2" t="s">
        <v>16</v>
      </c>
      <c r="G263" s="2" t="s">
        <v>17</v>
      </c>
      <c r="H263" s="2"/>
      <c r="I263" s="2"/>
      <c r="J263" s="2" t="s">
        <v>19</v>
      </c>
      <c r="K263" s="2"/>
      <c r="L263" s="2" t="s">
        <v>112</v>
      </c>
    </row>
    <row r="264" customFormat="false" ht="13.35" hidden="false" customHeight="true" outlineLevel="0" collapsed="false">
      <c r="A264" s="5" t="str">
        <f aca="false">HYPERLINK("https://www.fabsurplus.com/sdi_catalog/salesItemDetails.do?id=100909")</f>
        <v>https://www.fabsurplus.com/sdi_catalog/salesItemDetails.do?id=100909</v>
      </c>
      <c r="B264" s="5" t="s">
        <v>759</v>
      </c>
      <c r="C264" s="5" t="s">
        <v>620</v>
      </c>
      <c r="D264" s="5" t="s">
        <v>760</v>
      </c>
      <c r="E264" s="5" t="s">
        <v>708</v>
      </c>
      <c r="F264" s="5" t="s">
        <v>16</v>
      </c>
      <c r="G264" s="5" t="s">
        <v>17</v>
      </c>
      <c r="H264" s="5"/>
      <c r="I264" s="6" t="n">
        <v>42156</v>
      </c>
      <c r="J264" s="5" t="s">
        <v>19</v>
      </c>
      <c r="K264" s="5"/>
      <c r="L264" s="5" t="s">
        <v>618</v>
      </c>
    </row>
    <row r="265" customFormat="false" ht="13.35" hidden="false" customHeight="true" outlineLevel="0" collapsed="false">
      <c r="A265" s="2" t="str">
        <f aca="false">HYPERLINK("https://www.fabsurplus.com/sdi_catalog/salesItemDetails.do?id=100910")</f>
        <v>https://www.fabsurplus.com/sdi_catalog/salesItemDetails.do?id=100910</v>
      </c>
      <c r="B265" s="2" t="s">
        <v>761</v>
      </c>
      <c r="C265" s="2" t="s">
        <v>620</v>
      </c>
      <c r="D265" s="2" t="s">
        <v>760</v>
      </c>
      <c r="E265" s="2" t="s">
        <v>708</v>
      </c>
      <c r="F265" s="2" t="s">
        <v>16</v>
      </c>
      <c r="G265" s="2" t="s">
        <v>17</v>
      </c>
      <c r="H265" s="2"/>
      <c r="I265" s="3" t="n">
        <v>42156</v>
      </c>
      <c r="J265" s="2" t="s">
        <v>19</v>
      </c>
      <c r="K265" s="2"/>
      <c r="L265" s="2" t="s">
        <v>618</v>
      </c>
    </row>
    <row r="266" customFormat="false" ht="13.35" hidden="false" customHeight="true" outlineLevel="0" collapsed="false">
      <c r="A266" s="2" t="str">
        <f aca="false">HYPERLINK("https://www.fabsurplus.com/sdi_catalog/salesItemDetails.do?id=100911")</f>
        <v>https://www.fabsurplus.com/sdi_catalog/salesItemDetails.do?id=100911</v>
      </c>
      <c r="B266" s="2" t="s">
        <v>762</v>
      </c>
      <c r="C266" s="2" t="s">
        <v>620</v>
      </c>
      <c r="D266" s="2" t="s">
        <v>760</v>
      </c>
      <c r="E266" s="2" t="s">
        <v>708</v>
      </c>
      <c r="F266" s="2" t="s">
        <v>16</v>
      </c>
      <c r="G266" s="2" t="s">
        <v>17</v>
      </c>
      <c r="H266" s="2"/>
      <c r="I266" s="3" t="n">
        <v>42522</v>
      </c>
      <c r="J266" s="2" t="s">
        <v>19</v>
      </c>
      <c r="K266" s="2"/>
      <c r="L266" s="2" t="s">
        <v>618</v>
      </c>
    </row>
    <row r="267" customFormat="false" ht="13.35" hidden="false" customHeight="true" outlineLevel="0" collapsed="false">
      <c r="A267" s="2" t="str">
        <f aca="false">HYPERLINK("https://www.fabsurplus.com/sdi_catalog/salesItemDetails.do?id=91278")</f>
        <v>https://www.fabsurplus.com/sdi_catalog/salesItemDetails.do?id=91278</v>
      </c>
      <c r="B267" s="2" t="s">
        <v>763</v>
      </c>
      <c r="C267" s="2" t="s">
        <v>620</v>
      </c>
      <c r="D267" s="2" t="s">
        <v>764</v>
      </c>
      <c r="E267" s="2" t="s">
        <v>765</v>
      </c>
      <c r="F267" s="2" t="s">
        <v>16</v>
      </c>
      <c r="G267" s="2" t="s">
        <v>17</v>
      </c>
      <c r="H267" s="2"/>
      <c r="I267" s="2"/>
      <c r="J267" s="2" t="s">
        <v>19</v>
      </c>
      <c r="K267" s="2"/>
      <c r="L267" s="2" t="s">
        <v>112</v>
      </c>
    </row>
    <row r="268" customFormat="false" ht="13.35" hidden="false" customHeight="true" outlineLevel="0" collapsed="false">
      <c r="A268" s="5" t="str">
        <f aca="false">HYPERLINK("https://www.fabsurplus.com/sdi_catalog/salesItemDetails.do?id=102083")</f>
        <v>https://www.fabsurplus.com/sdi_catalog/salesItemDetails.do?id=102083</v>
      </c>
      <c r="B268" s="5" t="s">
        <v>766</v>
      </c>
      <c r="C268" s="5" t="s">
        <v>620</v>
      </c>
      <c r="D268" s="5" t="s">
        <v>767</v>
      </c>
      <c r="E268" s="5" t="s">
        <v>768</v>
      </c>
      <c r="F268" s="5" t="s">
        <v>16</v>
      </c>
      <c r="G268" s="5" t="s">
        <v>17</v>
      </c>
      <c r="H268" s="5"/>
      <c r="I268" s="6" t="n">
        <v>38869</v>
      </c>
      <c r="J268" s="5" t="s">
        <v>19</v>
      </c>
      <c r="K268" s="5"/>
      <c r="L268" s="5"/>
    </row>
    <row r="269" customFormat="false" ht="13.35" hidden="false" customHeight="true" outlineLevel="0" collapsed="false">
      <c r="A269" s="2" t="str">
        <f aca="false">HYPERLINK("https://www.fabsurplus.com/sdi_catalog/salesItemDetails.do?id=102086")</f>
        <v>https://www.fabsurplus.com/sdi_catalog/salesItemDetails.do?id=102086</v>
      </c>
      <c r="B269" s="2" t="s">
        <v>769</v>
      </c>
      <c r="C269" s="2" t="s">
        <v>620</v>
      </c>
      <c r="D269" s="2" t="s">
        <v>770</v>
      </c>
      <c r="E269" s="2" t="s">
        <v>771</v>
      </c>
      <c r="F269" s="2" t="s">
        <v>16</v>
      </c>
      <c r="G269" s="2" t="s">
        <v>17</v>
      </c>
      <c r="H269" s="2"/>
      <c r="I269" s="3" t="n">
        <v>40330</v>
      </c>
      <c r="J269" s="2" t="s">
        <v>19</v>
      </c>
      <c r="K269" s="2"/>
      <c r="L269" s="2"/>
    </row>
    <row r="270" customFormat="false" ht="13.35" hidden="false" customHeight="true" outlineLevel="0" collapsed="false">
      <c r="A270" s="2" t="str">
        <f aca="false">HYPERLINK("https://www.fabsurplus.com/sdi_catalog/salesItemDetails.do?id=102084")</f>
        <v>https://www.fabsurplus.com/sdi_catalog/salesItemDetails.do?id=102084</v>
      </c>
      <c r="B270" s="2" t="s">
        <v>772</v>
      </c>
      <c r="C270" s="2" t="s">
        <v>620</v>
      </c>
      <c r="D270" s="2" t="s">
        <v>773</v>
      </c>
      <c r="E270" s="2" t="s">
        <v>774</v>
      </c>
      <c r="F270" s="2" t="s">
        <v>16</v>
      </c>
      <c r="G270" s="2" t="s">
        <v>17</v>
      </c>
      <c r="H270" s="2"/>
      <c r="I270" s="3" t="n">
        <v>39234</v>
      </c>
      <c r="J270" s="2" t="s">
        <v>19</v>
      </c>
      <c r="K270" s="2"/>
      <c r="L270" s="2"/>
    </row>
    <row r="271" customFormat="false" ht="13.35" hidden="false" customHeight="true" outlineLevel="0" collapsed="false">
      <c r="A271" s="5" t="str">
        <f aca="false">HYPERLINK("https://www.fabsurplus.com/sdi_catalog/salesItemDetails.do?id=102085")</f>
        <v>https://www.fabsurplus.com/sdi_catalog/salesItemDetails.do?id=102085</v>
      </c>
      <c r="B271" s="5" t="s">
        <v>775</v>
      </c>
      <c r="C271" s="5" t="s">
        <v>620</v>
      </c>
      <c r="D271" s="5" t="s">
        <v>776</v>
      </c>
      <c r="E271" s="5" t="s">
        <v>738</v>
      </c>
      <c r="F271" s="5" t="s">
        <v>16</v>
      </c>
      <c r="G271" s="5" t="s">
        <v>17</v>
      </c>
      <c r="H271" s="5"/>
      <c r="I271" s="6" t="n">
        <v>41061</v>
      </c>
      <c r="J271" s="5" t="s">
        <v>19</v>
      </c>
      <c r="K271" s="5"/>
      <c r="L271" s="5"/>
    </row>
    <row r="272" customFormat="false" ht="13.35" hidden="false" customHeight="true" outlineLevel="0" collapsed="false">
      <c r="A272" s="5" t="str">
        <f aca="false">HYPERLINK("https://www.fabsurplus.com/sdi_catalog/salesItemDetails.do?id=102087")</f>
        <v>https://www.fabsurplus.com/sdi_catalog/salesItemDetails.do?id=102087</v>
      </c>
      <c r="B272" s="5" t="s">
        <v>777</v>
      </c>
      <c r="C272" s="5" t="s">
        <v>620</v>
      </c>
      <c r="D272" s="5" t="s">
        <v>778</v>
      </c>
      <c r="E272" s="5" t="s">
        <v>779</v>
      </c>
      <c r="F272" s="5" t="s">
        <v>16</v>
      </c>
      <c r="G272" s="5" t="s">
        <v>17</v>
      </c>
      <c r="H272" s="5"/>
      <c r="I272" s="6" t="n">
        <v>38869</v>
      </c>
      <c r="J272" s="5" t="s">
        <v>19</v>
      </c>
      <c r="K272" s="5"/>
      <c r="L272" s="5"/>
    </row>
    <row r="273" customFormat="false" ht="13.35" hidden="false" customHeight="true" outlineLevel="0" collapsed="false">
      <c r="A273" s="2" t="str">
        <f aca="false">HYPERLINK("https://www.fabsurplus.com/sdi_catalog/salesItemDetails.do?id=102088")</f>
        <v>https://www.fabsurplus.com/sdi_catalog/salesItemDetails.do?id=102088</v>
      </c>
      <c r="B273" s="2" t="s">
        <v>780</v>
      </c>
      <c r="C273" s="2" t="s">
        <v>620</v>
      </c>
      <c r="D273" s="2" t="s">
        <v>781</v>
      </c>
      <c r="E273" s="2" t="s">
        <v>782</v>
      </c>
      <c r="F273" s="2" t="s">
        <v>16</v>
      </c>
      <c r="G273" s="2" t="s">
        <v>17</v>
      </c>
      <c r="H273" s="2"/>
      <c r="I273" s="3" t="n">
        <v>38869</v>
      </c>
      <c r="J273" s="2" t="s">
        <v>19</v>
      </c>
      <c r="K273" s="2"/>
      <c r="L273" s="2"/>
    </row>
    <row r="274" customFormat="false" ht="13.35" hidden="false" customHeight="true" outlineLevel="0" collapsed="false">
      <c r="A274" s="5" t="str">
        <f aca="false">HYPERLINK("https://www.fabsurplus.com/sdi_catalog/salesItemDetails.do?id=102089")</f>
        <v>https://www.fabsurplus.com/sdi_catalog/salesItemDetails.do?id=102089</v>
      </c>
      <c r="B274" s="5" t="s">
        <v>783</v>
      </c>
      <c r="C274" s="5" t="s">
        <v>620</v>
      </c>
      <c r="D274" s="5" t="s">
        <v>784</v>
      </c>
      <c r="E274" s="5" t="s">
        <v>785</v>
      </c>
      <c r="F274" s="5" t="s">
        <v>16</v>
      </c>
      <c r="G274" s="5" t="s">
        <v>17</v>
      </c>
      <c r="H274" s="5"/>
      <c r="I274" s="6" t="n">
        <v>39234</v>
      </c>
      <c r="J274" s="5" t="s">
        <v>19</v>
      </c>
      <c r="K274" s="5"/>
      <c r="L274" s="5"/>
    </row>
    <row r="275" customFormat="false" ht="13.35" hidden="false" customHeight="true" outlineLevel="0" collapsed="false">
      <c r="A275" s="5" t="str">
        <f aca="false">HYPERLINK("https://www.fabsurplus.com/sdi_catalog/salesItemDetails.do?id=91279")</f>
        <v>https://www.fabsurplus.com/sdi_catalog/salesItemDetails.do?id=91279</v>
      </c>
      <c r="B275" s="5" t="s">
        <v>786</v>
      </c>
      <c r="C275" s="5" t="s">
        <v>620</v>
      </c>
      <c r="D275" s="5" t="s">
        <v>787</v>
      </c>
      <c r="E275" s="5" t="s">
        <v>788</v>
      </c>
      <c r="F275" s="5" t="s">
        <v>16</v>
      </c>
      <c r="G275" s="5" t="s">
        <v>17</v>
      </c>
      <c r="H275" s="5"/>
      <c r="I275" s="6" t="n">
        <v>39600</v>
      </c>
      <c r="J275" s="5" t="s">
        <v>19</v>
      </c>
      <c r="K275" s="5"/>
      <c r="L275" s="5" t="s">
        <v>112</v>
      </c>
    </row>
    <row r="276" customFormat="false" ht="13.35" hidden="false" customHeight="true" outlineLevel="0" collapsed="false">
      <c r="A276" s="2" t="str">
        <f aca="false">HYPERLINK("https://www.fabsurplus.com/sdi_catalog/salesItemDetails.do?id=91280")</f>
        <v>https://www.fabsurplus.com/sdi_catalog/salesItemDetails.do?id=91280</v>
      </c>
      <c r="B276" s="2" t="s">
        <v>789</v>
      </c>
      <c r="C276" s="2" t="s">
        <v>620</v>
      </c>
      <c r="D276" s="2" t="s">
        <v>787</v>
      </c>
      <c r="E276" s="2" t="s">
        <v>788</v>
      </c>
      <c r="F276" s="2" t="s">
        <v>16</v>
      </c>
      <c r="G276" s="2" t="s">
        <v>17</v>
      </c>
      <c r="H276" s="2"/>
      <c r="I276" s="3" t="n">
        <v>39600</v>
      </c>
      <c r="J276" s="2" t="s">
        <v>19</v>
      </c>
      <c r="K276" s="2"/>
      <c r="L276" s="2" t="s">
        <v>112</v>
      </c>
    </row>
    <row r="277" customFormat="false" ht="13.35" hidden="false" customHeight="true" outlineLevel="0" collapsed="false">
      <c r="A277" s="2" t="str">
        <f aca="false">HYPERLINK("https://www.fabsurplus.com/sdi_catalog/salesItemDetails.do?id=91281")</f>
        <v>https://www.fabsurplus.com/sdi_catalog/salesItemDetails.do?id=91281</v>
      </c>
      <c r="B277" s="2" t="s">
        <v>790</v>
      </c>
      <c r="C277" s="2" t="s">
        <v>620</v>
      </c>
      <c r="D277" s="2" t="s">
        <v>787</v>
      </c>
      <c r="E277" s="2" t="s">
        <v>788</v>
      </c>
      <c r="F277" s="2" t="s">
        <v>16</v>
      </c>
      <c r="G277" s="2" t="s">
        <v>17</v>
      </c>
      <c r="H277" s="2"/>
      <c r="I277" s="3" t="n">
        <v>39600</v>
      </c>
      <c r="J277" s="2" t="s">
        <v>19</v>
      </c>
      <c r="K277" s="2"/>
      <c r="L277" s="2" t="s">
        <v>112</v>
      </c>
    </row>
    <row r="278" customFormat="false" ht="13.35" hidden="false" customHeight="true" outlineLevel="0" collapsed="false">
      <c r="A278" s="5" t="str">
        <f aca="false">HYPERLINK("https://www.fabsurplus.com/sdi_catalog/salesItemDetails.do?id=91282")</f>
        <v>https://www.fabsurplus.com/sdi_catalog/salesItemDetails.do?id=91282</v>
      </c>
      <c r="B278" s="5" t="s">
        <v>791</v>
      </c>
      <c r="C278" s="5" t="s">
        <v>620</v>
      </c>
      <c r="D278" s="5" t="s">
        <v>787</v>
      </c>
      <c r="E278" s="5" t="s">
        <v>788</v>
      </c>
      <c r="F278" s="5" t="s">
        <v>16</v>
      </c>
      <c r="G278" s="5" t="s">
        <v>17</v>
      </c>
      <c r="H278" s="5"/>
      <c r="I278" s="6" t="n">
        <v>39600</v>
      </c>
      <c r="J278" s="5" t="s">
        <v>19</v>
      </c>
      <c r="K278" s="5"/>
      <c r="L278" s="5" t="s">
        <v>112</v>
      </c>
    </row>
    <row r="279" customFormat="false" ht="13.35" hidden="false" customHeight="true" outlineLevel="0" collapsed="false">
      <c r="A279" s="2" t="str">
        <f aca="false">HYPERLINK("https://www.fabsurplus.com/sdi_catalog/salesItemDetails.do?id=91283")</f>
        <v>https://www.fabsurplus.com/sdi_catalog/salesItemDetails.do?id=91283</v>
      </c>
      <c r="B279" s="2" t="s">
        <v>792</v>
      </c>
      <c r="C279" s="2" t="s">
        <v>620</v>
      </c>
      <c r="D279" s="2" t="s">
        <v>787</v>
      </c>
      <c r="E279" s="2" t="s">
        <v>788</v>
      </c>
      <c r="F279" s="2" t="s">
        <v>16</v>
      </c>
      <c r="G279" s="2" t="s">
        <v>17</v>
      </c>
      <c r="H279" s="2"/>
      <c r="I279" s="3" t="n">
        <v>39600</v>
      </c>
      <c r="J279" s="2" t="s">
        <v>19</v>
      </c>
      <c r="K279" s="2"/>
      <c r="L279" s="2" t="s">
        <v>112</v>
      </c>
    </row>
    <row r="280" customFormat="false" ht="13.35" hidden="false" customHeight="true" outlineLevel="0" collapsed="false">
      <c r="A280" s="2" t="str">
        <f aca="false">HYPERLINK("https://www.fabsurplus.com/sdi_catalog/salesItemDetails.do?id=91316")</f>
        <v>https://www.fabsurplus.com/sdi_catalog/salesItemDetails.do?id=91316</v>
      </c>
      <c r="B280" s="2" t="s">
        <v>793</v>
      </c>
      <c r="C280" s="2" t="s">
        <v>620</v>
      </c>
      <c r="D280" s="2" t="s">
        <v>787</v>
      </c>
      <c r="E280" s="2" t="s">
        <v>788</v>
      </c>
      <c r="F280" s="2" t="s">
        <v>16</v>
      </c>
      <c r="G280" s="2" t="s">
        <v>17</v>
      </c>
      <c r="H280" s="2"/>
      <c r="I280" s="2"/>
      <c r="J280" s="2" t="s">
        <v>19</v>
      </c>
      <c r="K280" s="2"/>
      <c r="L280" s="2" t="s">
        <v>112</v>
      </c>
    </row>
    <row r="281" customFormat="false" ht="13.35" hidden="false" customHeight="true" outlineLevel="0" collapsed="false">
      <c r="A281" s="5" t="str">
        <f aca="false">HYPERLINK("https://www.fabsurplus.com/sdi_catalog/salesItemDetails.do?id=91317")</f>
        <v>https://www.fabsurplus.com/sdi_catalog/salesItemDetails.do?id=91317</v>
      </c>
      <c r="B281" s="5" t="s">
        <v>794</v>
      </c>
      <c r="C281" s="5" t="s">
        <v>620</v>
      </c>
      <c r="D281" s="5" t="s">
        <v>787</v>
      </c>
      <c r="E281" s="5" t="s">
        <v>788</v>
      </c>
      <c r="F281" s="5" t="s">
        <v>16</v>
      </c>
      <c r="G281" s="5" t="s">
        <v>17</v>
      </c>
      <c r="H281" s="5"/>
      <c r="I281" s="5"/>
      <c r="J281" s="5" t="s">
        <v>19</v>
      </c>
      <c r="K281" s="5"/>
      <c r="L281" s="5" t="s">
        <v>112</v>
      </c>
    </row>
    <row r="282" customFormat="false" ht="13.35" hidden="false" customHeight="true" outlineLevel="0" collapsed="false">
      <c r="A282" s="2" t="str">
        <f aca="false">HYPERLINK("https://www.fabsurplus.com/sdi_catalog/salesItemDetails.do?id=93034")</f>
        <v>https://www.fabsurplus.com/sdi_catalog/salesItemDetails.do?id=93034</v>
      </c>
      <c r="B282" s="2" t="s">
        <v>795</v>
      </c>
      <c r="C282" s="2" t="s">
        <v>620</v>
      </c>
      <c r="D282" s="2" t="s">
        <v>796</v>
      </c>
      <c r="E282" s="2" t="s">
        <v>788</v>
      </c>
      <c r="F282" s="2" t="s">
        <v>16</v>
      </c>
      <c r="G282" s="2" t="s">
        <v>663</v>
      </c>
      <c r="H282" s="2"/>
      <c r="I282" s="3" t="n">
        <v>39234</v>
      </c>
      <c r="J282" s="2" t="s">
        <v>19</v>
      </c>
      <c r="K282" s="2"/>
      <c r="L282" s="2" t="s">
        <v>112</v>
      </c>
    </row>
    <row r="283" customFormat="false" ht="13.35" hidden="false" customHeight="true" outlineLevel="0" collapsed="false">
      <c r="A283" s="5" t="str">
        <f aca="false">HYPERLINK("https://www.fabsurplus.com/sdi_catalog/salesItemDetails.do?id=93035")</f>
        <v>https://www.fabsurplus.com/sdi_catalog/salesItemDetails.do?id=93035</v>
      </c>
      <c r="B283" s="5" t="s">
        <v>797</v>
      </c>
      <c r="C283" s="5" t="s">
        <v>620</v>
      </c>
      <c r="D283" s="5" t="s">
        <v>798</v>
      </c>
      <c r="E283" s="5" t="s">
        <v>788</v>
      </c>
      <c r="F283" s="5" t="s">
        <v>16</v>
      </c>
      <c r="G283" s="5" t="s">
        <v>663</v>
      </c>
      <c r="H283" s="5"/>
      <c r="I283" s="6" t="n">
        <v>40330</v>
      </c>
      <c r="J283" s="5" t="s">
        <v>19</v>
      </c>
      <c r="K283" s="5"/>
      <c r="L283" s="5" t="s">
        <v>112</v>
      </c>
    </row>
    <row r="284" customFormat="false" ht="13.35" hidden="false" customHeight="true" outlineLevel="0" collapsed="false">
      <c r="A284" s="5" t="str">
        <f aca="false">HYPERLINK("https://www.fabsurplus.com/sdi_catalog/salesItemDetails.do?id=93920")</f>
        <v>https://www.fabsurplus.com/sdi_catalog/salesItemDetails.do?id=93920</v>
      </c>
      <c r="B284" s="5" t="s">
        <v>799</v>
      </c>
      <c r="C284" s="5" t="s">
        <v>620</v>
      </c>
      <c r="D284" s="5" t="s">
        <v>800</v>
      </c>
      <c r="E284" s="5" t="s">
        <v>801</v>
      </c>
      <c r="F284" s="5" t="s">
        <v>16</v>
      </c>
      <c r="G284" s="5" t="s">
        <v>17</v>
      </c>
      <c r="H284" s="5" t="s">
        <v>18</v>
      </c>
      <c r="I284" s="6" t="n">
        <v>37408</v>
      </c>
      <c r="J284" s="5" t="s">
        <v>19</v>
      </c>
      <c r="K284" s="5" t="s">
        <v>20</v>
      </c>
      <c r="L284" s="7" t="s">
        <v>802</v>
      </c>
    </row>
    <row r="285" customFormat="false" ht="13.35" hidden="false" customHeight="true" outlineLevel="0" collapsed="false">
      <c r="A285" s="5" t="str">
        <f aca="false">HYPERLINK("https://www.fabsurplus.com/sdi_catalog/salesItemDetails.do?id=94436")</f>
        <v>https://www.fabsurplus.com/sdi_catalog/salesItemDetails.do?id=94436</v>
      </c>
      <c r="B285" s="5" t="s">
        <v>803</v>
      </c>
      <c r="C285" s="5" t="s">
        <v>620</v>
      </c>
      <c r="D285" s="5" t="s">
        <v>804</v>
      </c>
      <c r="E285" s="5" t="s">
        <v>805</v>
      </c>
      <c r="F285" s="5" t="s">
        <v>16</v>
      </c>
      <c r="G285" s="5"/>
      <c r="H285" s="5"/>
      <c r="I285" s="6" t="n">
        <v>40330</v>
      </c>
      <c r="J285" s="5" t="s">
        <v>19</v>
      </c>
      <c r="K285" s="5"/>
      <c r="L285" s="5" t="s">
        <v>806</v>
      </c>
    </row>
    <row r="286" customFormat="false" ht="13.35" hidden="false" customHeight="true" outlineLevel="0" collapsed="false">
      <c r="A286" s="5" t="str">
        <f aca="false">HYPERLINK("https://www.fabsurplus.com/sdi_catalog/salesItemDetails.do?id=93895")</f>
        <v>https://www.fabsurplus.com/sdi_catalog/salesItemDetails.do?id=93895</v>
      </c>
      <c r="B286" s="5" t="s">
        <v>807</v>
      </c>
      <c r="C286" s="5" t="s">
        <v>620</v>
      </c>
      <c r="D286" s="5" t="s">
        <v>808</v>
      </c>
      <c r="E286" s="5" t="s">
        <v>735</v>
      </c>
      <c r="F286" s="5" t="s">
        <v>16</v>
      </c>
      <c r="G286" s="5" t="s">
        <v>36</v>
      </c>
      <c r="H286" s="5" t="s">
        <v>96</v>
      </c>
      <c r="I286" s="5"/>
      <c r="J286" s="5" t="s">
        <v>19</v>
      </c>
      <c r="K286" s="5" t="s">
        <v>809</v>
      </c>
      <c r="L286" s="7" t="s">
        <v>810</v>
      </c>
    </row>
    <row r="287" customFormat="false" ht="13.35" hidden="false" customHeight="true" outlineLevel="0" collapsed="false">
      <c r="A287" s="2" t="str">
        <f aca="false">HYPERLINK("https://www.fabsurplus.com/sdi_catalog/salesItemDetails.do?id=94437")</f>
        <v>https://www.fabsurplus.com/sdi_catalog/salesItemDetails.do?id=94437</v>
      </c>
      <c r="B287" s="2" t="s">
        <v>811</v>
      </c>
      <c r="C287" s="2" t="s">
        <v>620</v>
      </c>
      <c r="D287" s="2" t="s">
        <v>812</v>
      </c>
      <c r="E287" s="2" t="s">
        <v>813</v>
      </c>
      <c r="F287" s="2" t="s">
        <v>16</v>
      </c>
      <c r="G287" s="2" t="s">
        <v>36</v>
      </c>
      <c r="H287" s="2"/>
      <c r="I287" s="2"/>
      <c r="J287" s="2" t="s">
        <v>19</v>
      </c>
      <c r="K287" s="2"/>
      <c r="L287" s="2"/>
    </row>
    <row r="288" customFormat="false" ht="13.35" hidden="false" customHeight="true" outlineLevel="0" collapsed="false">
      <c r="A288" s="5" t="str">
        <f aca="false">HYPERLINK("https://www.fabsurplus.com/sdi_catalog/salesItemDetails.do?id=94438")</f>
        <v>https://www.fabsurplus.com/sdi_catalog/salesItemDetails.do?id=94438</v>
      </c>
      <c r="B288" s="5" t="s">
        <v>814</v>
      </c>
      <c r="C288" s="5" t="s">
        <v>620</v>
      </c>
      <c r="D288" s="5" t="s">
        <v>812</v>
      </c>
      <c r="E288" s="5"/>
      <c r="F288" s="5" t="s">
        <v>16</v>
      </c>
      <c r="G288" s="5" t="s">
        <v>36</v>
      </c>
      <c r="H288" s="5" t="s">
        <v>96</v>
      </c>
      <c r="I288" s="5"/>
      <c r="J288" s="5" t="s">
        <v>403</v>
      </c>
      <c r="K288" s="5" t="s">
        <v>815</v>
      </c>
      <c r="L288" s="5"/>
    </row>
    <row r="289" customFormat="false" ht="13.35" hidden="false" customHeight="true" outlineLevel="0" collapsed="false">
      <c r="A289" s="5" t="str">
        <f aca="false">HYPERLINK("https://www.fabsurplus.com/sdi_catalog/salesItemDetails.do?id=93256")</f>
        <v>https://www.fabsurplus.com/sdi_catalog/salesItemDetails.do?id=93256</v>
      </c>
      <c r="B289" s="5" t="s">
        <v>816</v>
      </c>
      <c r="C289" s="5" t="s">
        <v>620</v>
      </c>
      <c r="D289" s="5" t="s">
        <v>817</v>
      </c>
      <c r="E289" s="5" t="s">
        <v>818</v>
      </c>
      <c r="F289" s="5" t="s">
        <v>16</v>
      </c>
      <c r="G289" s="5" t="s">
        <v>36</v>
      </c>
      <c r="H289" s="5"/>
      <c r="I289" s="5"/>
      <c r="J289" s="5" t="s">
        <v>19</v>
      </c>
      <c r="K289" s="5"/>
      <c r="L289" s="5" t="s">
        <v>112</v>
      </c>
    </row>
    <row r="290" customFormat="false" ht="13.35" hidden="false" customHeight="true" outlineLevel="0" collapsed="false">
      <c r="A290" s="5" t="str">
        <f aca="false">HYPERLINK("https://www.fabsurplus.com/sdi_catalog/salesItemDetails.do?id=90377")</f>
        <v>https://www.fabsurplus.com/sdi_catalog/salesItemDetails.do?id=90377</v>
      </c>
      <c r="B290" s="5" t="s">
        <v>819</v>
      </c>
      <c r="C290" s="5" t="s">
        <v>620</v>
      </c>
      <c r="D290" s="5" t="s">
        <v>820</v>
      </c>
      <c r="E290" s="5" t="s">
        <v>821</v>
      </c>
      <c r="F290" s="5" t="s">
        <v>16</v>
      </c>
      <c r="G290" s="5" t="s">
        <v>36</v>
      </c>
      <c r="H290" s="5" t="s">
        <v>96</v>
      </c>
      <c r="I290" s="6" t="n">
        <v>36678</v>
      </c>
      <c r="J290" s="5" t="s">
        <v>403</v>
      </c>
      <c r="K290" s="5" t="s">
        <v>815</v>
      </c>
      <c r="L290" s="7" t="s">
        <v>822</v>
      </c>
    </row>
    <row r="291" customFormat="false" ht="13.35" hidden="false" customHeight="true" outlineLevel="0" collapsed="false">
      <c r="A291" s="2" t="str">
        <f aca="false">HYPERLINK("https://www.fabsurplus.com/sdi_catalog/salesItemDetails.do?id=93257")</f>
        <v>https://www.fabsurplus.com/sdi_catalog/salesItemDetails.do?id=93257</v>
      </c>
      <c r="B291" s="2" t="s">
        <v>823</v>
      </c>
      <c r="C291" s="2" t="s">
        <v>620</v>
      </c>
      <c r="D291" s="2" t="s">
        <v>824</v>
      </c>
      <c r="E291" s="2" t="s">
        <v>825</v>
      </c>
      <c r="F291" s="2" t="s">
        <v>16</v>
      </c>
      <c r="G291" s="2" t="s">
        <v>36</v>
      </c>
      <c r="H291" s="2" t="s">
        <v>96</v>
      </c>
      <c r="I291" s="3" t="n">
        <v>36526</v>
      </c>
      <c r="J291" s="2" t="s">
        <v>403</v>
      </c>
      <c r="K291" s="2" t="s">
        <v>815</v>
      </c>
      <c r="L291" s="4" t="s">
        <v>826</v>
      </c>
    </row>
    <row r="292" customFormat="false" ht="13.35" hidden="false" customHeight="true" outlineLevel="0" collapsed="false">
      <c r="A292" s="5" t="str">
        <f aca="false">HYPERLINK("https://www.fabsurplus.com/sdi_catalog/salesItemDetails.do?id=87899")</f>
        <v>https://www.fabsurplus.com/sdi_catalog/salesItemDetails.do?id=87899</v>
      </c>
      <c r="B292" s="5" t="s">
        <v>827</v>
      </c>
      <c r="C292" s="5" t="s">
        <v>620</v>
      </c>
      <c r="D292" s="5" t="s">
        <v>828</v>
      </c>
      <c r="E292" s="5" t="s">
        <v>829</v>
      </c>
      <c r="F292" s="5" t="s">
        <v>16</v>
      </c>
      <c r="G292" s="5" t="s">
        <v>17</v>
      </c>
      <c r="H292" s="5"/>
      <c r="I292" s="5"/>
      <c r="J292" s="5" t="s">
        <v>19</v>
      </c>
      <c r="K292" s="5"/>
      <c r="L292" s="5" t="s">
        <v>830</v>
      </c>
    </row>
    <row r="293" customFormat="false" ht="13.35" hidden="false" customHeight="true" outlineLevel="0" collapsed="false">
      <c r="A293" s="5" t="str">
        <f aca="false">HYPERLINK("https://www.fabsurplus.com/sdi_catalog/salesItemDetails.do?id=86721")</f>
        <v>https://www.fabsurplus.com/sdi_catalog/salesItemDetails.do?id=86721</v>
      </c>
      <c r="B293" s="5" t="s">
        <v>831</v>
      </c>
      <c r="C293" s="5" t="s">
        <v>620</v>
      </c>
      <c r="D293" s="5" t="s">
        <v>828</v>
      </c>
      <c r="E293" s="5" t="s">
        <v>832</v>
      </c>
      <c r="F293" s="5" t="s">
        <v>16</v>
      </c>
      <c r="G293" s="5" t="s">
        <v>17</v>
      </c>
      <c r="H293" s="5" t="s">
        <v>26</v>
      </c>
      <c r="I293" s="6" t="n">
        <v>38718</v>
      </c>
      <c r="J293" s="5" t="s">
        <v>19</v>
      </c>
      <c r="K293" s="5" t="s">
        <v>20</v>
      </c>
      <c r="L293" s="7" t="s">
        <v>833</v>
      </c>
    </row>
    <row r="294" customFormat="false" ht="13.35" hidden="false" customHeight="true" outlineLevel="0" collapsed="false">
      <c r="A294" s="2" t="str">
        <f aca="false">HYPERLINK("https://www.fabsurplus.com/sdi_catalog/salesItemDetails.do?id=87078")</f>
        <v>https://www.fabsurplus.com/sdi_catalog/salesItemDetails.do?id=87078</v>
      </c>
      <c r="B294" s="2" t="s">
        <v>834</v>
      </c>
      <c r="C294" s="2" t="s">
        <v>620</v>
      </c>
      <c r="D294" s="2" t="s">
        <v>828</v>
      </c>
      <c r="E294" s="2" t="s">
        <v>832</v>
      </c>
      <c r="F294" s="2" t="s">
        <v>16</v>
      </c>
      <c r="G294" s="2" t="s">
        <v>17</v>
      </c>
      <c r="H294" s="2" t="s">
        <v>26</v>
      </c>
      <c r="I294" s="3" t="n">
        <v>37773</v>
      </c>
      <c r="J294" s="2" t="s">
        <v>19</v>
      </c>
      <c r="K294" s="2" t="s">
        <v>20</v>
      </c>
      <c r="L294" s="4" t="s">
        <v>833</v>
      </c>
    </row>
    <row r="295" customFormat="false" ht="13.35" hidden="false" customHeight="true" outlineLevel="0" collapsed="false">
      <c r="A295" s="2" t="str">
        <f aca="false">HYPERLINK("https://www.fabsurplus.com/sdi_catalog/salesItemDetails.do?id=91156")</f>
        <v>https://www.fabsurplus.com/sdi_catalog/salesItemDetails.do?id=91156</v>
      </c>
      <c r="B295" s="2" t="s">
        <v>835</v>
      </c>
      <c r="C295" s="2" t="s">
        <v>620</v>
      </c>
      <c r="D295" s="2" t="s">
        <v>828</v>
      </c>
      <c r="E295" s="2" t="s">
        <v>836</v>
      </c>
      <c r="F295" s="2" t="s">
        <v>16</v>
      </c>
      <c r="G295" s="2" t="s">
        <v>17</v>
      </c>
      <c r="H295" s="2"/>
      <c r="I295" s="2"/>
      <c r="J295" s="2" t="s">
        <v>19</v>
      </c>
      <c r="K295" s="2"/>
      <c r="L295" s="2" t="s">
        <v>112</v>
      </c>
    </row>
    <row r="296" customFormat="false" ht="13.35" hidden="false" customHeight="true" outlineLevel="0" collapsed="false">
      <c r="A296" s="5" t="str">
        <f aca="false">HYPERLINK("https://www.fabsurplus.com/sdi_catalog/salesItemDetails.do?id=91158")</f>
        <v>https://www.fabsurplus.com/sdi_catalog/salesItemDetails.do?id=91158</v>
      </c>
      <c r="B296" s="5" t="s">
        <v>837</v>
      </c>
      <c r="C296" s="5" t="s">
        <v>620</v>
      </c>
      <c r="D296" s="5" t="s">
        <v>838</v>
      </c>
      <c r="E296" s="5" t="s">
        <v>839</v>
      </c>
      <c r="F296" s="5" t="s">
        <v>16</v>
      </c>
      <c r="G296" s="5" t="s">
        <v>36</v>
      </c>
      <c r="H296" s="5" t="s">
        <v>96</v>
      </c>
      <c r="I296" s="6" t="n">
        <v>36678</v>
      </c>
      <c r="J296" s="5" t="s">
        <v>47</v>
      </c>
      <c r="K296" s="5"/>
      <c r="L296" s="7" t="s">
        <v>840</v>
      </c>
    </row>
    <row r="297" customFormat="false" ht="13.35" hidden="false" customHeight="true" outlineLevel="0" collapsed="false">
      <c r="A297" s="2" t="str">
        <f aca="false">HYPERLINK("https://www.fabsurplus.com/sdi_catalog/salesItemDetails.do?id=91159")</f>
        <v>https://www.fabsurplus.com/sdi_catalog/salesItemDetails.do?id=91159</v>
      </c>
      <c r="B297" s="2" t="s">
        <v>841</v>
      </c>
      <c r="C297" s="2" t="s">
        <v>620</v>
      </c>
      <c r="D297" s="2" t="s">
        <v>838</v>
      </c>
      <c r="E297" s="2" t="s">
        <v>839</v>
      </c>
      <c r="F297" s="2" t="s">
        <v>16</v>
      </c>
      <c r="G297" s="2" t="s">
        <v>36</v>
      </c>
      <c r="H297" s="2" t="s">
        <v>96</v>
      </c>
      <c r="I297" s="3" t="n">
        <v>37043</v>
      </c>
      <c r="J297" s="2" t="s">
        <v>47</v>
      </c>
      <c r="K297" s="2"/>
      <c r="L297" s="4" t="s">
        <v>842</v>
      </c>
    </row>
    <row r="298" customFormat="false" ht="13.35" hidden="false" customHeight="true" outlineLevel="0" collapsed="false">
      <c r="A298" s="5" t="str">
        <f aca="false">HYPERLINK("https://www.fabsurplus.com/sdi_catalog/salesItemDetails.do?id=91162")</f>
        <v>https://www.fabsurplus.com/sdi_catalog/salesItemDetails.do?id=91162</v>
      </c>
      <c r="B298" s="5" t="s">
        <v>843</v>
      </c>
      <c r="C298" s="5" t="s">
        <v>620</v>
      </c>
      <c r="D298" s="5" t="s">
        <v>838</v>
      </c>
      <c r="E298" s="5" t="s">
        <v>839</v>
      </c>
      <c r="F298" s="5" t="s">
        <v>16</v>
      </c>
      <c r="G298" s="5" t="s">
        <v>36</v>
      </c>
      <c r="H298" s="5"/>
      <c r="I298" s="5"/>
      <c r="J298" s="5" t="s">
        <v>19</v>
      </c>
      <c r="K298" s="5"/>
      <c r="L298" s="5" t="s">
        <v>112</v>
      </c>
    </row>
    <row r="299" customFormat="false" ht="13.35" hidden="false" customHeight="true" outlineLevel="0" collapsed="false">
      <c r="A299" s="2" t="str">
        <f aca="false">HYPERLINK("https://www.fabsurplus.com/sdi_catalog/salesItemDetails.do?id=91167")</f>
        <v>https://www.fabsurplus.com/sdi_catalog/salesItemDetails.do?id=91167</v>
      </c>
      <c r="B299" s="2" t="s">
        <v>844</v>
      </c>
      <c r="C299" s="2" t="s">
        <v>620</v>
      </c>
      <c r="D299" s="2" t="s">
        <v>838</v>
      </c>
      <c r="E299" s="2" t="s">
        <v>839</v>
      </c>
      <c r="F299" s="2" t="s">
        <v>16</v>
      </c>
      <c r="G299" s="2" t="s">
        <v>36</v>
      </c>
      <c r="H299" s="2" t="s">
        <v>96</v>
      </c>
      <c r="I299" s="3" t="n">
        <v>36678</v>
      </c>
      <c r="J299" s="2" t="s">
        <v>47</v>
      </c>
      <c r="K299" s="2"/>
      <c r="L299" s="4" t="s">
        <v>845</v>
      </c>
    </row>
    <row r="300" customFormat="false" ht="13.35" hidden="false" customHeight="true" outlineLevel="0" collapsed="false">
      <c r="A300" s="5" t="str">
        <f aca="false">HYPERLINK("https://www.fabsurplus.com/sdi_catalog/salesItemDetails.do?id=91168")</f>
        <v>https://www.fabsurplus.com/sdi_catalog/salesItemDetails.do?id=91168</v>
      </c>
      <c r="B300" s="5" t="s">
        <v>846</v>
      </c>
      <c r="C300" s="5" t="s">
        <v>620</v>
      </c>
      <c r="D300" s="5" t="s">
        <v>838</v>
      </c>
      <c r="E300" s="5" t="s">
        <v>839</v>
      </c>
      <c r="F300" s="5" t="s">
        <v>16</v>
      </c>
      <c r="G300" s="5" t="s">
        <v>36</v>
      </c>
      <c r="H300" s="5" t="s">
        <v>96</v>
      </c>
      <c r="I300" s="6" t="n">
        <v>36678</v>
      </c>
      <c r="J300" s="5" t="s">
        <v>47</v>
      </c>
      <c r="K300" s="5"/>
      <c r="L300" s="7" t="s">
        <v>847</v>
      </c>
    </row>
    <row r="301" customFormat="false" ht="13.35" hidden="false" customHeight="true" outlineLevel="0" collapsed="false">
      <c r="A301" s="2" t="str">
        <f aca="false">HYPERLINK("https://www.fabsurplus.com/sdi_catalog/salesItemDetails.do?id=91161")</f>
        <v>https://www.fabsurplus.com/sdi_catalog/salesItemDetails.do?id=91161</v>
      </c>
      <c r="B301" s="2" t="s">
        <v>848</v>
      </c>
      <c r="C301" s="2" t="s">
        <v>620</v>
      </c>
      <c r="D301" s="2" t="s">
        <v>838</v>
      </c>
      <c r="E301" s="2" t="s">
        <v>849</v>
      </c>
      <c r="F301" s="2" t="s">
        <v>16</v>
      </c>
      <c r="G301" s="2" t="s">
        <v>36</v>
      </c>
      <c r="H301" s="2" t="s">
        <v>96</v>
      </c>
      <c r="I301" s="3" t="n">
        <v>37408</v>
      </c>
      <c r="J301" s="2" t="s">
        <v>47</v>
      </c>
      <c r="K301" s="2"/>
      <c r="L301" s="4" t="s">
        <v>850</v>
      </c>
    </row>
    <row r="302" customFormat="false" ht="13.35" hidden="false" customHeight="true" outlineLevel="0" collapsed="false">
      <c r="A302" s="2" t="str">
        <f aca="false">HYPERLINK("https://www.fabsurplus.com/sdi_catalog/salesItemDetails.do?id=91157")</f>
        <v>https://www.fabsurplus.com/sdi_catalog/salesItemDetails.do?id=91157</v>
      </c>
      <c r="B302" s="2" t="s">
        <v>851</v>
      </c>
      <c r="C302" s="2" t="s">
        <v>620</v>
      </c>
      <c r="D302" s="2" t="s">
        <v>838</v>
      </c>
      <c r="E302" s="2" t="s">
        <v>852</v>
      </c>
      <c r="F302" s="2" t="s">
        <v>16</v>
      </c>
      <c r="G302" s="2" t="s">
        <v>36</v>
      </c>
      <c r="H302" s="2"/>
      <c r="I302" s="2"/>
      <c r="J302" s="2" t="s">
        <v>19</v>
      </c>
      <c r="K302" s="2"/>
      <c r="L302" s="2" t="s">
        <v>112</v>
      </c>
    </row>
    <row r="303" customFormat="false" ht="13.35" hidden="false" customHeight="true" outlineLevel="0" collapsed="false">
      <c r="A303" s="2" t="str">
        <f aca="false">HYPERLINK("https://www.fabsurplus.com/sdi_catalog/salesItemDetails.do?id=91160")</f>
        <v>https://www.fabsurplus.com/sdi_catalog/salesItemDetails.do?id=91160</v>
      </c>
      <c r="B303" s="2" t="s">
        <v>853</v>
      </c>
      <c r="C303" s="2" t="s">
        <v>620</v>
      </c>
      <c r="D303" s="2" t="s">
        <v>838</v>
      </c>
      <c r="E303" s="2" t="s">
        <v>852</v>
      </c>
      <c r="F303" s="2" t="s">
        <v>16</v>
      </c>
      <c r="G303" s="2" t="s">
        <v>36</v>
      </c>
      <c r="H303" s="2"/>
      <c r="I303" s="2"/>
      <c r="J303" s="2" t="s">
        <v>19</v>
      </c>
      <c r="K303" s="2"/>
      <c r="L303" s="2" t="s">
        <v>112</v>
      </c>
    </row>
    <row r="304" customFormat="false" ht="13.35" hidden="false" customHeight="true" outlineLevel="0" collapsed="false">
      <c r="A304" s="2" t="str">
        <f aca="false">HYPERLINK("https://www.fabsurplus.com/sdi_catalog/salesItemDetails.do?id=91163")</f>
        <v>https://www.fabsurplus.com/sdi_catalog/salesItemDetails.do?id=91163</v>
      </c>
      <c r="B304" s="2" t="s">
        <v>854</v>
      </c>
      <c r="C304" s="2" t="s">
        <v>620</v>
      </c>
      <c r="D304" s="2" t="s">
        <v>838</v>
      </c>
      <c r="E304" s="2" t="s">
        <v>852</v>
      </c>
      <c r="F304" s="2" t="s">
        <v>16</v>
      </c>
      <c r="G304" s="2" t="s">
        <v>36</v>
      </c>
      <c r="H304" s="2"/>
      <c r="I304" s="2"/>
      <c r="J304" s="2" t="s">
        <v>19</v>
      </c>
      <c r="K304" s="2"/>
      <c r="L304" s="2" t="s">
        <v>112</v>
      </c>
    </row>
    <row r="305" customFormat="false" ht="13.35" hidden="false" customHeight="true" outlineLevel="0" collapsed="false">
      <c r="A305" s="2" t="str">
        <f aca="false">HYPERLINK("https://www.fabsurplus.com/sdi_catalog/salesItemDetails.do?id=91164")</f>
        <v>https://www.fabsurplus.com/sdi_catalog/salesItemDetails.do?id=91164</v>
      </c>
      <c r="B305" s="2" t="s">
        <v>855</v>
      </c>
      <c r="C305" s="2" t="s">
        <v>620</v>
      </c>
      <c r="D305" s="2" t="s">
        <v>838</v>
      </c>
      <c r="E305" s="2" t="s">
        <v>852</v>
      </c>
      <c r="F305" s="2" t="s">
        <v>16</v>
      </c>
      <c r="G305" s="2" t="s">
        <v>36</v>
      </c>
      <c r="H305" s="2"/>
      <c r="I305" s="2"/>
      <c r="J305" s="2" t="s">
        <v>19</v>
      </c>
      <c r="K305" s="2"/>
      <c r="L305" s="2" t="s">
        <v>112</v>
      </c>
    </row>
    <row r="306" customFormat="false" ht="13.35" hidden="false" customHeight="true" outlineLevel="0" collapsed="false">
      <c r="A306" s="2" t="str">
        <f aca="false">HYPERLINK("https://www.fabsurplus.com/sdi_catalog/salesItemDetails.do?id=91165")</f>
        <v>https://www.fabsurplus.com/sdi_catalog/salesItemDetails.do?id=91165</v>
      </c>
      <c r="B306" s="2" t="s">
        <v>856</v>
      </c>
      <c r="C306" s="2" t="s">
        <v>620</v>
      </c>
      <c r="D306" s="2" t="s">
        <v>838</v>
      </c>
      <c r="E306" s="2" t="s">
        <v>852</v>
      </c>
      <c r="F306" s="2" t="s">
        <v>16</v>
      </c>
      <c r="G306" s="2" t="s">
        <v>36</v>
      </c>
      <c r="H306" s="2"/>
      <c r="I306" s="2"/>
      <c r="J306" s="2" t="s">
        <v>19</v>
      </c>
      <c r="K306" s="2"/>
      <c r="L306" s="2" t="s">
        <v>112</v>
      </c>
    </row>
    <row r="307" customFormat="false" ht="13.35" hidden="false" customHeight="true" outlineLevel="0" collapsed="false">
      <c r="A307" s="5" t="str">
        <f aca="false">HYPERLINK("https://www.fabsurplus.com/sdi_catalog/salesItemDetails.do?id=91166")</f>
        <v>https://www.fabsurplus.com/sdi_catalog/salesItemDetails.do?id=91166</v>
      </c>
      <c r="B307" s="5" t="s">
        <v>857</v>
      </c>
      <c r="C307" s="5" t="s">
        <v>620</v>
      </c>
      <c r="D307" s="5" t="s">
        <v>838</v>
      </c>
      <c r="E307" s="5" t="s">
        <v>852</v>
      </c>
      <c r="F307" s="5" t="s">
        <v>16</v>
      </c>
      <c r="G307" s="5" t="s">
        <v>36</v>
      </c>
      <c r="H307" s="5"/>
      <c r="I307" s="6" t="n">
        <v>36312</v>
      </c>
      <c r="J307" s="5" t="s">
        <v>19</v>
      </c>
      <c r="K307" s="5"/>
      <c r="L307" s="5" t="s">
        <v>112</v>
      </c>
    </row>
    <row r="308" customFormat="false" ht="13.35" hidden="false" customHeight="true" outlineLevel="0" collapsed="false">
      <c r="A308" s="5" t="str">
        <f aca="false">HYPERLINK("https://www.fabsurplus.com/sdi_catalog/salesItemDetails.do?id=94439")</f>
        <v>https://www.fabsurplus.com/sdi_catalog/salesItemDetails.do?id=94439</v>
      </c>
      <c r="B308" s="5" t="s">
        <v>858</v>
      </c>
      <c r="C308" s="5" t="s">
        <v>620</v>
      </c>
      <c r="D308" s="5" t="s">
        <v>838</v>
      </c>
      <c r="E308" s="5" t="s">
        <v>852</v>
      </c>
      <c r="F308" s="5" t="s">
        <v>16</v>
      </c>
      <c r="G308" s="5" t="s">
        <v>36</v>
      </c>
      <c r="H308" s="5"/>
      <c r="I308" s="5"/>
      <c r="J308" s="5" t="s">
        <v>19</v>
      </c>
      <c r="K308" s="5"/>
      <c r="L308" s="5" t="s">
        <v>806</v>
      </c>
    </row>
    <row r="309" customFormat="false" ht="13.35" hidden="false" customHeight="true" outlineLevel="0" collapsed="false">
      <c r="A309" s="2" t="str">
        <f aca="false">HYPERLINK("https://www.fabsurplus.com/sdi_catalog/salesItemDetails.do?id=36456")</f>
        <v>https://www.fabsurplus.com/sdi_catalog/salesItemDetails.do?id=36456</v>
      </c>
      <c r="B309" s="2" t="s">
        <v>859</v>
      </c>
      <c r="C309" s="2" t="s">
        <v>860</v>
      </c>
      <c r="D309" s="2" t="s">
        <v>861</v>
      </c>
      <c r="E309" s="2" t="s">
        <v>829</v>
      </c>
      <c r="F309" s="2" t="s">
        <v>16</v>
      </c>
      <c r="G309" s="2" t="s">
        <v>862</v>
      </c>
      <c r="H309" s="2"/>
      <c r="I309" s="3" t="n">
        <v>37043</v>
      </c>
      <c r="J309" s="2" t="s">
        <v>47</v>
      </c>
      <c r="K309" s="2"/>
      <c r="L309" s="2" t="s">
        <v>806</v>
      </c>
    </row>
    <row r="310" customFormat="false" ht="13.35" hidden="false" customHeight="true" outlineLevel="0" collapsed="false">
      <c r="A310" s="2" t="str">
        <f aca="false">HYPERLINK("https://www.fabsurplus.com/sdi_catalog/salesItemDetails.do?id=101763")</f>
        <v>https://www.fabsurplus.com/sdi_catalog/salesItemDetails.do?id=101763</v>
      </c>
      <c r="B310" s="2" t="s">
        <v>863</v>
      </c>
      <c r="C310" s="2" t="s">
        <v>620</v>
      </c>
      <c r="D310" s="2" t="s">
        <v>735</v>
      </c>
      <c r="E310" s="2" t="s">
        <v>864</v>
      </c>
      <c r="F310" s="2" t="s">
        <v>16</v>
      </c>
      <c r="G310" s="2" t="s">
        <v>36</v>
      </c>
      <c r="H310" s="2" t="s">
        <v>26</v>
      </c>
      <c r="I310" s="2"/>
      <c r="J310" s="2" t="s">
        <v>19</v>
      </c>
      <c r="K310" s="2" t="s">
        <v>20</v>
      </c>
      <c r="L310" s="4" t="s">
        <v>865</v>
      </c>
    </row>
    <row r="311" customFormat="false" ht="13.35" hidden="false" customHeight="true" outlineLevel="0" collapsed="false">
      <c r="A311" s="2" t="str">
        <f aca="false">HYPERLINK("https://www.fabsurplus.com/sdi_catalog/salesItemDetails.do?id=101764")</f>
        <v>https://www.fabsurplus.com/sdi_catalog/salesItemDetails.do?id=101764</v>
      </c>
      <c r="B311" s="2" t="s">
        <v>866</v>
      </c>
      <c r="C311" s="2" t="s">
        <v>620</v>
      </c>
      <c r="D311" s="2" t="s">
        <v>735</v>
      </c>
      <c r="E311" s="2" t="s">
        <v>864</v>
      </c>
      <c r="F311" s="2" t="s">
        <v>16</v>
      </c>
      <c r="G311" s="2" t="s">
        <v>36</v>
      </c>
      <c r="H311" s="2" t="s">
        <v>26</v>
      </c>
      <c r="I311" s="3" t="n">
        <v>34486</v>
      </c>
      <c r="J311" s="2" t="s">
        <v>19</v>
      </c>
      <c r="K311" s="2" t="s">
        <v>20</v>
      </c>
      <c r="L311" s="4" t="s">
        <v>865</v>
      </c>
    </row>
    <row r="312" customFormat="false" ht="13.35" hidden="false" customHeight="true" outlineLevel="0" collapsed="false">
      <c r="A312" s="5" t="str">
        <f aca="false">HYPERLINK("https://www.fabsurplus.com/sdi_catalog/salesItemDetails.do?id=98258")</f>
        <v>https://www.fabsurplus.com/sdi_catalog/salesItemDetails.do?id=98258</v>
      </c>
      <c r="B312" s="5" t="s">
        <v>867</v>
      </c>
      <c r="C312" s="5" t="s">
        <v>620</v>
      </c>
      <c r="D312" s="5" t="s">
        <v>868</v>
      </c>
      <c r="E312" s="5" t="s">
        <v>738</v>
      </c>
      <c r="F312" s="5" t="s">
        <v>16</v>
      </c>
      <c r="G312" s="5" t="s">
        <v>17</v>
      </c>
      <c r="H312" s="5"/>
      <c r="I312" s="6" t="n">
        <v>38869</v>
      </c>
      <c r="J312" s="5" t="s">
        <v>19</v>
      </c>
      <c r="K312" s="5"/>
      <c r="L312" s="5"/>
    </row>
    <row r="313" customFormat="false" ht="13.35" hidden="false" customHeight="true" outlineLevel="0" collapsed="false">
      <c r="A313" s="5" t="str">
        <f aca="false">HYPERLINK("https://www.fabsurplus.com/sdi_catalog/salesItemDetails.do?id=98259")</f>
        <v>https://www.fabsurplus.com/sdi_catalog/salesItemDetails.do?id=98259</v>
      </c>
      <c r="B313" s="5" t="s">
        <v>869</v>
      </c>
      <c r="C313" s="5" t="s">
        <v>620</v>
      </c>
      <c r="D313" s="5" t="s">
        <v>868</v>
      </c>
      <c r="E313" s="5" t="s">
        <v>738</v>
      </c>
      <c r="F313" s="5" t="s">
        <v>16</v>
      </c>
      <c r="G313" s="5" t="s">
        <v>17</v>
      </c>
      <c r="H313" s="5"/>
      <c r="I313" s="6" t="n">
        <v>38869</v>
      </c>
      <c r="J313" s="5" t="s">
        <v>19</v>
      </c>
      <c r="K313" s="5"/>
      <c r="L313" s="5"/>
    </row>
    <row r="314" customFormat="false" ht="13.35" hidden="false" customHeight="true" outlineLevel="0" collapsed="false">
      <c r="A314" s="2" t="str">
        <f aca="false">HYPERLINK("https://www.fabsurplus.com/sdi_catalog/salesItemDetails.do?id=98260")</f>
        <v>https://www.fabsurplus.com/sdi_catalog/salesItemDetails.do?id=98260</v>
      </c>
      <c r="B314" s="2" t="s">
        <v>870</v>
      </c>
      <c r="C314" s="2" t="s">
        <v>620</v>
      </c>
      <c r="D314" s="2" t="s">
        <v>868</v>
      </c>
      <c r="E314" s="2" t="s">
        <v>738</v>
      </c>
      <c r="F314" s="2" t="s">
        <v>16</v>
      </c>
      <c r="G314" s="2" t="s">
        <v>17</v>
      </c>
      <c r="H314" s="2"/>
      <c r="I314" s="3" t="n">
        <v>40330</v>
      </c>
      <c r="J314" s="2" t="s">
        <v>19</v>
      </c>
      <c r="K314" s="2"/>
      <c r="L314" s="2"/>
    </row>
    <row r="315" customFormat="false" ht="13.35" hidden="false" customHeight="true" outlineLevel="0" collapsed="false">
      <c r="A315" s="5" t="str">
        <f aca="false">HYPERLINK("https://www.fabsurplus.com/sdi_catalog/salesItemDetails.do?id=100912")</f>
        <v>https://www.fabsurplus.com/sdi_catalog/salesItemDetails.do?id=100912</v>
      </c>
      <c r="B315" s="5" t="s">
        <v>871</v>
      </c>
      <c r="C315" s="5" t="s">
        <v>620</v>
      </c>
      <c r="D315" s="5" t="s">
        <v>872</v>
      </c>
      <c r="E315" s="5" t="s">
        <v>708</v>
      </c>
      <c r="F315" s="5" t="s">
        <v>16</v>
      </c>
      <c r="G315" s="5" t="s">
        <v>17</v>
      </c>
      <c r="H315" s="5"/>
      <c r="I315" s="6" t="n">
        <v>38869</v>
      </c>
      <c r="J315" s="5" t="s">
        <v>19</v>
      </c>
      <c r="K315" s="5"/>
      <c r="L315" s="5" t="s">
        <v>618</v>
      </c>
    </row>
    <row r="316" customFormat="false" ht="13.35" hidden="false" customHeight="true" outlineLevel="0" collapsed="false">
      <c r="A316" s="2" t="str">
        <f aca="false">HYPERLINK("https://www.fabsurplus.com/sdi_catalog/salesItemDetails.do?id=98261")</f>
        <v>https://www.fabsurplus.com/sdi_catalog/salesItemDetails.do?id=98261</v>
      </c>
      <c r="B316" s="2" t="s">
        <v>873</v>
      </c>
      <c r="C316" s="2" t="s">
        <v>620</v>
      </c>
      <c r="D316" s="2" t="s">
        <v>874</v>
      </c>
      <c r="E316" s="2" t="s">
        <v>653</v>
      </c>
      <c r="F316" s="2" t="s">
        <v>16</v>
      </c>
      <c r="G316" s="2" t="s">
        <v>17</v>
      </c>
      <c r="H316" s="2"/>
      <c r="I316" s="3" t="n">
        <v>41426</v>
      </c>
      <c r="J316" s="2" t="s">
        <v>19</v>
      </c>
      <c r="K316" s="2"/>
      <c r="L316" s="2"/>
    </row>
    <row r="317" customFormat="false" ht="13.35" hidden="false" customHeight="true" outlineLevel="0" collapsed="false">
      <c r="A317" s="2" t="str">
        <f aca="false">HYPERLINK("https://www.fabsurplus.com/sdi_catalog/salesItemDetails.do?id=100913")</f>
        <v>https://www.fabsurplus.com/sdi_catalog/salesItemDetails.do?id=100913</v>
      </c>
      <c r="B317" s="2" t="s">
        <v>875</v>
      </c>
      <c r="C317" s="2" t="s">
        <v>620</v>
      </c>
      <c r="D317" s="2" t="s">
        <v>876</v>
      </c>
      <c r="E317" s="2" t="s">
        <v>877</v>
      </c>
      <c r="F317" s="2" t="s">
        <v>16</v>
      </c>
      <c r="G317" s="2" t="s">
        <v>17</v>
      </c>
      <c r="H317" s="2"/>
      <c r="I317" s="3" t="n">
        <v>38869</v>
      </c>
      <c r="J317" s="2" t="s">
        <v>19</v>
      </c>
      <c r="K317" s="2"/>
      <c r="L317" s="2" t="s">
        <v>618</v>
      </c>
    </row>
    <row r="318" customFormat="false" ht="13.35" hidden="false" customHeight="true" outlineLevel="0" collapsed="false">
      <c r="A318" s="2" t="str">
        <f aca="false">HYPERLINK("https://www.fabsurplus.com/sdi_catalog/salesItemDetails.do?id=100914")</f>
        <v>https://www.fabsurplus.com/sdi_catalog/salesItemDetails.do?id=100914</v>
      </c>
      <c r="B318" s="2" t="s">
        <v>878</v>
      </c>
      <c r="C318" s="2" t="s">
        <v>620</v>
      </c>
      <c r="D318" s="2" t="s">
        <v>876</v>
      </c>
      <c r="E318" s="2" t="s">
        <v>877</v>
      </c>
      <c r="F318" s="2" t="s">
        <v>16</v>
      </c>
      <c r="G318" s="2" t="s">
        <v>17</v>
      </c>
      <c r="H318" s="2"/>
      <c r="I318" s="3" t="n">
        <v>39234</v>
      </c>
      <c r="J318" s="2" t="s">
        <v>19</v>
      </c>
      <c r="K318" s="2"/>
      <c r="L318" s="2" t="s">
        <v>618</v>
      </c>
    </row>
    <row r="319" customFormat="false" ht="13.35" hidden="false" customHeight="true" outlineLevel="0" collapsed="false">
      <c r="A319" s="2" t="str">
        <f aca="false">HYPERLINK("https://www.fabsurplus.com/sdi_catalog/salesItemDetails.do?id=89044")</f>
        <v>https://www.fabsurplus.com/sdi_catalog/salesItemDetails.do?id=89044</v>
      </c>
      <c r="B319" s="2" t="s">
        <v>879</v>
      </c>
      <c r="C319" s="2" t="s">
        <v>620</v>
      </c>
      <c r="D319" s="2" t="s">
        <v>880</v>
      </c>
      <c r="E319" s="2" t="s">
        <v>881</v>
      </c>
      <c r="F319" s="2" t="s">
        <v>16</v>
      </c>
      <c r="G319" s="2" t="s">
        <v>36</v>
      </c>
      <c r="H319" s="2" t="s">
        <v>26</v>
      </c>
      <c r="I319" s="2"/>
      <c r="J319" s="2" t="s">
        <v>47</v>
      </c>
      <c r="K319" s="2" t="s">
        <v>20</v>
      </c>
      <c r="L319" s="4" t="s">
        <v>882</v>
      </c>
    </row>
    <row r="320" customFormat="false" ht="13.35" hidden="false" customHeight="true" outlineLevel="0" collapsed="false">
      <c r="A320" s="5" t="str">
        <f aca="false">HYPERLINK("https://www.fabsurplus.com/sdi_catalog/salesItemDetails.do?id=102947")</f>
        <v>https://www.fabsurplus.com/sdi_catalog/salesItemDetails.do?id=102947</v>
      </c>
      <c r="B320" s="5" t="s">
        <v>883</v>
      </c>
      <c r="C320" s="5" t="s">
        <v>620</v>
      </c>
      <c r="D320" s="5" t="s">
        <v>884</v>
      </c>
      <c r="E320" s="5" t="s">
        <v>885</v>
      </c>
      <c r="F320" s="5" t="s">
        <v>16</v>
      </c>
      <c r="G320" s="5" t="s">
        <v>17</v>
      </c>
      <c r="H320" s="5"/>
      <c r="I320" s="6" t="n">
        <v>40330</v>
      </c>
      <c r="J320" s="5" t="s">
        <v>19</v>
      </c>
      <c r="K320" s="5"/>
      <c r="L320" s="5"/>
    </row>
    <row r="321" customFormat="false" ht="13.35" hidden="false" customHeight="true" outlineLevel="0" collapsed="false">
      <c r="A321" s="5" t="str">
        <f aca="false">HYPERLINK("https://www.fabsurplus.com/sdi_catalog/salesItemDetails.do?id=102093")</f>
        <v>https://www.fabsurplus.com/sdi_catalog/salesItemDetails.do?id=102093</v>
      </c>
      <c r="B321" s="5" t="s">
        <v>886</v>
      </c>
      <c r="C321" s="5" t="s">
        <v>620</v>
      </c>
      <c r="D321" s="5" t="s">
        <v>887</v>
      </c>
      <c r="E321" s="5" t="s">
        <v>888</v>
      </c>
      <c r="F321" s="5" t="s">
        <v>16</v>
      </c>
      <c r="G321" s="5" t="s">
        <v>17</v>
      </c>
      <c r="H321" s="5"/>
      <c r="I321" s="5"/>
      <c r="J321" s="5" t="s">
        <v>19</v>
      </c>
      <c r="K321" s="5"/>
      <c r="L321" s="5"/>
    </row>
    <row r="322" customFormat="false" ht="13.35" hidden="false" customHeight="true" outlineLevel="0" collapsed="false">
      <c r="A322" s="2" t="str">
        <f aca="false">HYPERLINK("https://www.fabsurplus.com/sdi_catalog/salesItemDetails.do?id=102094")</f>
        <v>https://www.fabsurplus.com/sdi_catalog/salesItemDetails.do?id=102094</v>
      </c>
      <c r="B322" s="2" t="s">
        <v>889</v>
      </c>
      <c r="C322" s="2" t="s">
        <v>620</v>
      </c>
      <c r="D322" s="2" t="s">
        <v>890</v>
      </c>
      <c r="E322" s="2" t="s">
        <v>888</v>
      </c>
      <c r="F322" s="2" t="s">
        <v>16</v>
      </c>
      <c r="G322" s="2" t="s">
        <v>17</v>
      </c>
      <c r="H322" s="2"/>
      <c r="I322" s="2"/>
      <c r="J322" s="2" t="s">
        <v>19</v>
      </c>
      <c r="K322" s="2"/>
      <c r="L322" s="2"/>
    </row>
    <row r="323" customFormat="false" ht="13.35" hidden="false" customHeight="true" outlineLevel="0" collapsed="false">
      <c r="A323" s="2" t="str">
        <f aca="false">HYPERLINK("https://www.fabsurplus.com/sdi_catalog/salesItemDetails.do?id=98375")</f>
        <v>https://www.fabsurplus.com/sdi_catalog/salesItemDetails.do?id=98375</v>
      </c>
      <c r="B323" s="2" t="s">
        <v>891</v>
      </c>
      <c r="C323" s="2" t="s">
        <v>620</v>
      </c>
      <c r="D323" s="2" t="s">
        <v>892</v>
      </c>
      <c r="E323" s="2" t="s">
        <v>738</v>
      </c>
      <c r="F323" s="2" t="s">
        <v>16</v>
      </c>
      <c r="G323" s="2" t="s">
        <v>17</v>
      </c>
      <c r="H323" s="2"/>
      <c r="I323" s="2"/>
      <c r="J323" s="2" t="s">
        <v>19</v>
      </c>
      <c r="K323" s="2"/>
      <c r="L323" s="2" t="s">
        <v>893</v>
      </c>
    </row>
    <row r="324" customFormat="false" ht="13.35" hidden="false" customHeight="true" outlineLevel="0" collapsed="false">
      <c r="A324" s="5" t="str">
        <f aca="false">HYPERLINK("https://www.fabsurplus.com/sdi_catalog/salesItemDetails.do?id=93896")</f>
        <v>https://www.fabsurplus.com/sdi_catalog/salesItemDetails.do?id=93896</v>
      </c>
      <c r="B324" s="5" t="s">
        <v>894</v>
      </c>
      <c r="C324" s="5" t="s">
        <v>620</v>
      </c>
      <c r="D324" s="5" t="s">
        <v>895</v>
      </c>
      <c r="E324" s="5" t="s">
        <v>896</v>
      </c>
      <c r="F324" s="5" t="s">
        <v>16</v>
      </c>
      <c r="G324" s="5" t="s">
        <v>17</v>
      </c>
      <c r="H324" s="5"/>
      <c r="I324" s="6" t="n">
        <v>39965</v>
      </c>
      <c r="J324" s="5" t="s">
        <v>19</v>
      </c>
      <c r="K324" s="5"/>
      <c r="L324" s="7" t="s">
        <v>241</v>
      </c>
    </row>
    <row r="325" customFormat="false" ht="13.35" hidden="false" customHeight="true" outlineLevel="0" collapsed="false">
      <c r="A325" s="2" t="str">
        <f aca="false">HYPERLINK("https://www.fabsurplus.com/sdi_catalog/salesItemDetails.do?id=98023")</f>
        <v>https://www.fabsurplus.com/sdi_catalog/salesItemDetails.do?id=98023</v>
      </c>
      <c r="B325" s="2" t="s">
        <v>897</v>
      </c>
      <c r="C325" s="2" t="s">
        <v>620</v>
      </c>
      <c r="D325" s="2" t="s">
        <v>898</v>
      </c>
      <c r="E325" s="2" t="s">
        <v>899</v>
      </c>
      <c r="F325" s="2" t="s">
        <v>16</v>
      </c>
      <c r="G325" s="2" t="s">
        <v>17</v>
      </c>
      <c r="H325" s="2"/>
      <c r="I325" s="3" t="n">
        <v>38869</v>
      </c>
      <c r="J325" s="2" t="s">
        <v>19</v>
      </c>
      <c r="K325" s="2"/>
      <c r="L325" s="2"/>
    </row>
    <row r="326" customFormat="false" ht="13.35" hidden="false" customHeight="true" outlineLevel="0" collapsed="false">
      <c r="A326" s="2" t="str">
        <f aca="false">HYPERLINK("https://www.fabsurplus.com/sdi_catalog/salesItemDetails.do?id=98024")</f>
        <v>https://www.fabsurplus.com/sdi_catalog/salesItemDetails.do?id=98024</v>
      </c>
      <c r="B326" s="2" t="s">
        <v>900</v>
      </c>
      <c r="C326" s="2" t="s">
        <v>620</v>
      </c>
      <c r="D326" s="2" t="s">
        <v>898</v>
      </c>
      <c r="E326" s="2" t="s">
        <v>899</v>
      </c>
      <c r="F326" s="2" t="s">
        <v>16</v>
      </c>
      <c r="G326" s="2" t="s">
        <v>17</v>
      </c>
      <c r="H326" s="2"/>
      <c r="I326" s="3" t="n">
        <v>43252</v>
      </c>
      <c r="J326" s="2" t="s">
        <v>19</v>
      </c>
      <c r="K326" s="2"/>
      <c r="L326" s="2"/>
    </row>
    <row r="327" customFormat="false" ht="13.35" hidden="false" customHeight="true" outlineLevel="0" collapsed="false">
      <c r="A327" s="2" t="str">
        <f aca="false">HYPERLINK("https://www.fabsurplus.com/sdi_catalog/salesItemDetails.do?id=98025")</f>
        <v>https://www.fabsurplus.com/sdi_catalog/salesItemDetails.do?id=98025</v>
      </c>
      <c r="B327" s="2" t="s">
        <v>901</v>
      </c>
      <c r="C327" s="2" t="s">
        <v>620</v>
      </c>
      <c r="D327" s="2" t="s">
        <v>898</v>
      </c>
      <c r="E327" s="2" t="s">
        <v>899</v>
      </c>
      <c r="F327" s="2" t="s">
        <v>16</v>
      </c>
      <c r="G327" s="2" t="s">
        <v>17</v>
      </c>
      <c r="H327" s="2"/>
      <c r="I327" s="3" t="n">
        <v>43252</v>
      </c>
      <c r="J327" s="2" t="s">
        <v>19</v>
      </c>
      <c r="K327" s="2"/>
      <c r="L327" s="2"/>
    </row>
    <row r="328" customFormat="false" ht="13.35" hidden="false" customHeight="true" outlineLevel="0" collapsed="false">
      <c r="A328" s="2" t="str">
        <f aca="false">HYPERLINK("https://www.fabsurplus.com/sdi_catalog/salesItemDetails.do?id=98799")</f>
        <v>https://www.fabsurplus.com/sdi_catalog/salesItemDetails.do?id=98799</v>
      </c>
      <c r="B328" s="2" t="s">
        <v>902</v>
      </c>
      <c r="C328" s="2" t="s">
        <v>620</v>
      </c>
      <c r="D328" s="2" t="s">
        <v>903</v>
      </c>
      <c r="E328" s="2" t="s">
        <v>904</v>
      </c>
      <c r="F328" s="2" t="s">
        <v>16</v>
      </c>
      <c r="G328" s="2" t="s">
        <v>17</v>
      </c>
      <c r="H328" s="2" t="s">
        <v>26</v>
      </c>
      <c r="I328" s="3" t="n">
        <v>43525</v>
      </c>
      <c r="J328" s="2" t="s">
        <v>19</v>
      </c>
      <c r="K328" s="2" t="s">
        <v>20</v>
      </c>
      <c r="L328" s="2" t="s">
        <v>474</v>
      </c>
    </row>
    <row r="329" customFormat="false" ht="13.35" hidden="false" customHeight="true" outlineLevel="0" collapsed="false">
      <c r="A329" s="2" t="str">
        <f aca="false">HYPERLINK("https://www.fabsurplus.com/sdi_catalog/salesItemDetails.do?id=98800")</f>
        <v>https://www.fabsurplus.com/sdi_catalog/salesItemDetails.do?id=98800</v>
      </c>
      <c r="B329" s="2" t="s">
        <v>905</v>
      </c>
      <c r="C329" s="2" t="s">
        <v>620</v>
      </c>
      <c r="D329" s="2" t="s">
        <v>903</v>
      </c>
      <c r="E329" s="2" t="s">
        <v>904</v>
      </c>
      <c r="F329" s="2" t="s">
        <v>16</v>
      </c>
      <c r="G329" s="2" t="s">
        <v>17</v>
      </c>
      <c r="H329" s="2" t="s">
        <v>26</v>
      </c>
      <c r="I329" s="3" t="n">
        <v>43525</v>
      </c>
      <c r="J329" s="2" t="s">
        <v>19</v>
      </c>
      <c r="K329" s="2" t="s">
        <v>20</v>
      </c>
      <c r="L329" s="2" t="s">
        <v>474</v>
      </c>
    </row>
    <row r="330" customFormat="false" ht="13.35" hidden="false" customHeight="true" outlineLevel="0" collapsed="false">
      <c r="A330" s="5" t="str">
        <f aca="false">HYPERLINK("https://www.fabsurplus.com/sdi_catalog/salesItemDetails.do?id=98801")</f>
        <v>https://www.fabsurplus.com/sdi_catalog/salesItemDetails.do?id=98801</v>
      </c>
      <c r="B330" s="5" t="s">
        <v>906</v>
      </c>
      <c r="C330" s="5" t="s">
        <v>620</v>
      </c>
      <c r="D330" s="5" t="s">
        <v>903</v>
      </c>
      <c r="E330" s="5" t="s">
        <v>907</v>
      </c>
      <c r="F330" s="5" t="s">
        <v>16</v>
      </c>
      <c r="G330" s="5" t="s">
        <v>17</v>
      </c>
      <c r="H330" s="5"/>
      <c r="I330" s="6" t="n">
        <v>37742</v>
      </c>
      <c r="J330" s="5" t="s">
        <v>19</v>
      </c>
      <c r="K330" s="5"/>
      <c r="L330" s="7" t="s">
        <v>654</v>
      </c>
    </row>
    <row r="331" customFormat="false" ht="13.35" hidden="false" customHeight="true" outlineLevel="0" collapsed="false">
      <c r="A331" s="2" t="str">
        <f aca="false">HYPERLINK("https://www.fabsurplus.com/sdi_catalog/salesItemDetails.do?id=98797")</f>
        <v>https://www.fabsurplus.com/sdi_catalog/salesItemDetails.do?id=98797</v>
      </c>
      <c r="B331" s="2" t="s">
        <v>908</v>
      </c>
      <c r="C331" s="2" t="s">
        <v>620</v>
      </c>
      <c r="D331" s="2" t="s">
        <v>903</v>
      </c>
      <c r="E331" s="2" t="s">
        <v>909</v>
      </c>
      <c r="F331" s="2" t="s">
        <v>16</v>
      </c>
      <c r="G331" s="2" t="s">
        <v>17</v>
      </c>
      <c r="H331" s="2" t="s">
        <v>26</v>
      </c>
      <c r="I331" s="3" t="n">
        <v>43160</v>
      </c>
      <c r="J331" s="2" t="s">
        <v>19</v>
      </c>
      <c r="K331" s="2" t="s">
        <v>20</v>
      </c>
      <c r="L331" s="2" t="s">
        <v>474</v>
      </c>
    </row>
    <row r="332" customFormat="false" ht="13.35" hidden="false" customHeight="true" outlineLevel="0" collapsed="false">
      <c r="A332" s="5" t="str">
        <f aca="false">HYPERLINK("https://www.fabsurplus.com/sdi_catalog/salesItemDetails.do?id=98798")</f>
        <v>https://www.fabsurplus.com/sdi_catalog/salesItemDetails.do?id=98798</v>
      </c>
      <c r="B332" s="5" t="s">
        <v>910</v>
      </c>
      <c r="C332" s="5" t="s">
        <v>620</v>
      </c>
      <c r="D332" s="5" t="s">
        <v>903</v>
      </c>
      <c r="E332" s="5" t="s">
        <v>909</v>
      </c>
      <c r="F332" s="5" t="s">
        <v>16</v>
      </c>
      <c r="G332" s="5" t="s">
        <v>17</v>
      </c>
      <c r="H332" s="5" t="s">
        <v>26</v>
      </c>
      <c r="I332" s="6" t="n">
        <v>43160</v>
      </c>
      <c r="J332" s="5" t="s">
        <v>19</v>
      </c>
      <c r="K332" s="5" t="s">
        <v>20</v>
      </c>
      <c r="L332" s="7" t="s">
        <v>654</v>
      </c>
    </row>
    <row r="333" customFormat="false" ht="13.35" hidden="false" customHeight="true" outlineLevel="0" collapsed="false">
      <c r="A333" s="2" t="str">
        <f aca="false">HYPERLINK("https://www.fabsurplus.com/sdi_catalog/salesItemDetails.do?id=102095")</f>
        <v>https://www.fabsurplus.com/sdi_catalog/salesItemDetails.do?id=102095</v>
      </c>
      <c r="B333" s="2" t="s">
        <v>911</v>
      </c>
      <c r="C333" s="2" t="s">
        <v>620</v>
      </c>
      <c r="D333" s="2" t="s">
        <v>912</v>
      </c>
      <c r="E333" s="2" t="s">
        <v>913</v>
      </c>
      <c r="F333" s="2" t="s">
        <v>16</v>
      </c>
      <c r="G333" s="2" t="s">
        <v>17</v>
      </c>
      <c r="H333" s="2"/>
      <c r="I333" s="3" t="n">
        <v>40330</v>
      </c>
      <c r="J333" s="2" t="s">
        <v>19</v>
      </c>
      <c r="K333" s="2"/>
      <c r="L333" s="2"/>
    </row>
    <row r="334" customFormat="false" ht="13.35" hidden="false" customHeight="true" outlineLevel="0" collapsed="false">
      <c r="A334" s="5" t="str">
        <f aca="false">HYPERLINK("https://www.fabsurplus.com/sdi_catalog/salesItemDetails.do?id=102099")</f>
        <v>https://www.fabsurplus.com/sdi_catalog/salesItemDetails.do?id=102099</v>
      </c>
      <c r="B334" s="5" t="s">
        <v>914</v>
      </c>
      <c r="C334" s="5" t="s">
        <v>620</v>
      </c>
      <c r="D334" s="5" t="s">
        <v>912</v>
      </c>
      <c r="E334" s="5" t="s">
        <v>915</v>
      </c>
      <c r="F334" s="5" t="s">
        <v>16</v>
      </c>
      <c r="G334" s="5" t="s">
        <v>17</v>
      </c>
      <c r="H334" s="5"/>
      <c r="I334" s="6" t="n">
        <v>42887</v>
      </c>
      <c r="J334" s="5" t="s">
        <v>19</v>
      </c>
      <c r="K334" s="5"/>
      <c r="L334" s="5"/>
    </row>
    <row r="335" customFormat="false" ht="13.35" hidden="false" customHeight="true" outlineLevel="0" collapsed="false">
      <c r="A335" s="2" t="str">
        <f aca="false">HYPERLINK("https://www.fabsurplus.com/sdi_catalog/salesItemDetails.do?id=102098")</f>
        <v>https://www.fabsurplus.com/sdi_catalog/salesItemDetails.do?id=102098</v>
      </c>
      <c r="B335" s="2" t="s">
        <v>916</v>
      </c>
      <c r="C335" s="2" t="s">
        <v>620</v>
      </c>
      <c r="D335" s="2" t="s">
        <v>912</v>
      </c>
      <c r="E335" s="2" t="s">
        <v>917</v>
      </c>
      <c r="F335" s="2" t="s">
        <v>16</v>
      </c>
      <c r="G335" s="2" t="s">
        <v>17</v>
      </c>
      <c r="H335" s="2"/>
      <c r="I335" s="3" t="n">
        <v>41426</v>
      </c>
      <c r="J335" s="2" t="s">
        <v>19</v>
      </c>
      <c r="K335" s="2"/>
      <c r="L335" s="2"/>
    </row>
    <row r="336" customFormat="false" ht="13.35" hidden="false" customHeight="true" outlineLevel="0" collapsed="false">
      <c r="A336" s="5" t="str">
        <f aca="false">HYPERLINK("https://www.fabsurplus.com/sdi_catalog/salesItemDetails.do?id=102097")</f>
        <v>https://www.fabsurplus.com/sdi_catalog/salesItemDetails.do?id=102097</v>
      </c>
      <c r="B336" s="5" t="s">
        <v>918</v>
      </c>
      <c r="C336" s="5" t="s">
        <v>620</v>
      </c>
      <c r="D336" s="5" t="s">
        <v>912</v>
      </c>
      <c r="E336" s="5" t="s">
        <v>919</v>
      </c>
      <c r="F336" s="5" t="s">
        <v>16</v>
      </c>
      <c r="G336" s="5" t="s">
        <v>17</v>
      </c>
      <c r="H336" s="5"/>
      <c r="I336" s="6" t="n">
        <v>38869</v>
      </c>
      <c r="J336" s="5" t="s">
        <v>19</v>
      </c>
      <c r="K336" s="5"/>
      <c r="L336" s="5"/>
    </row>
    <row r="337" customFormat="false" ht="13.35" hidden="false" customHeight="true" outlineLevel="0" collapsed="false">
      <c r="A337" s="5" t="str">
        <f aca="false">HYPERLINK("https://www.fabsurplus.com/sdi_catalog/salesItemDetails.do?id=102096")</f>
        <v>https://www.fabsurplus.com/sdi_catalog/salesItemDetails.do?id=102096</v>
      </c>
      <c r="B337" s="5" t="s">
        <v>920</v>
      </c>
      <c r="C337" s="5" t="s">
        <v>620</v>
      </c>
      <c r="D337" s="5" t="s">
        <v>912</v>
      </c>
      <c r="E337" s="5" t="s">
        <v>921</v>
      </c>
      <c r="F337" s="5" t="s">
        <v>16</v>
      </c>
      <c r="G337" s="5" t="s">
        <v>17</v>
      </c>
      <c r="H337" s="5"/>
      <c r="I337" s="6" t="n">
        <v>42887</v>
      </c>
      <c r="J337" s="5" t="s">
        <v>19</v>
      </c>
      <c r="K337" s="5"/>
      <c r="L337" s="5"/>
    </row>
    <row r="338" customFormat="false" ht="13.35" hidden="false" customHeight="true" outlineLevel="0" collapsed="false">
      <c r="A338" s="5" t="str">
        <f aca="false">HYPERLINK("https://www.fabsurplus.com/sdi_catalog/salesItemDetails.do?id=94440")</f>
        <v>https://www.fabsurplus.com/sdi_catalog/salesItemDetails.do?id=94440</v>
      </c>
      <c r="B338" s="5" t="s">
        <v>922</v>
      </c>
      <c r="C338" s="5" t="s">
        <v>620</v>
      </c>
      <c r="D338" s="5" t="s">
        <v>923</v>
      </c>
      <c r="E338" s="5" t="s">
        <v>924</v>
      </c>
      <c r="F338" s="5" t="s">
        <v>16</v>
      </c>
      <c r="G338" s="5" t="s">
        <v>17</v>
      </c>
      <c r="H338" s="5"/>
      <c r="I338" s="6" t="n">
        <v>40330</v>
      </c>
      <c r="J338" s="5" t="s">
        <v>19</v>
      </c>
      <c r="K338" s="5"/>
      <c r="L338" s="5"/>
    </row>
    <row r="339" customFormat="false" ht="13.35" hidden="false" customHeight="true" outlineLevel="0" collapsed="false">
      <c r="A339" s="5" t="str">
        <f aca="false">HYPERLINK("https://www.fabsurplus.com/sdi_catalog/salesItemDetails.do?id=94441")</f>
        <v>https://www.fabsurplus.com/sdi_catalog/salesItemDetails.do?id=94441</v>
      </c>
      <c r="B339" s="5" t="s">
        <v>925</v>
      </c>
      <c r="C339" s="5" t="s">
        <v>620</v>
      </c>
      <c r="D339" s="5" t="s">
        <v>923</v>
      </c>
      <c r="E339" s="5" t="s">
        <v>926</v>
      </c>
      <c r="F339" s="5" t="s">
        <v>16</v>
      </c>
      <c r="G339" s="5" t="s">
        <v>17</v>
      </c>
      <c r="H339" s="5"/>
      <c r="I339" s="6" t="n">
        <v>38504</v>
      </c>
      <c r="J339" s="5" t="s">
        <v>19</v>
      </c>
      <c r="K339" s="5"/>
      <c r="L339" s="5"/>
    </row>
    <row r="340" customFormat="false" ht="13.35" hidden="false" customHeight="true" outlineLevel="0" collapsed="false">
      <c r="A340" s="5" t="str">
        <f aca="false">HYPERLINK("https://www.fabsurplus.com/sdi_catalog/salesItemDetails.do?id=94442")</f>
        <v>https://www.fabsurplus.com/sdi_catalog/salesItemDetails.do?id=94442</v>
      </c>
      <c r="B340" s="5" t="s">
        <v>927</v>
      </c>
      <c r="C340" s="5" t="s">
        <v>620</v>
      </c>
      <c r="D340" s="5" t="s">
        <v>923</v>
      </c>
      <c r="E340" s="5" t="s">
        <v>928</v>
      </c>
      <c r="F340" s="5" t="s">
        <v>16</v>
      </c>
      <c r="G340" s="5" t="s">
        <v>17</v>
      </c>
      <c r="H340" s="5"/>
      <c r="I340" s="6" t="n">
        <v>39600</v>
      </c>
      <c r="J340" s="5" t="s">
        <v>19</v>
      </c>
      <c r="K340" s="5"/>
      <c r="L340" s="5"/>
    </row>
    <row r="341" customFormat="false" ht="13.35" hidden="false" customHeight="true" outlineLevel="0" collapsed="false">
      <c r="A341" s="2" t="str">
        <f aca="false">HYPERLINK("https://www.fabsurplus.com/sdi_catalog/salesItemDetails.do?id=93921")</f>
        <v>https://www.fabsurplus.com/sdi_catalog/salesItemDetails.do?id=93921</v>
      </c>
      <c r="B341" s="2" t="s">
        <v>929</v>
      </c>
      <c r="C341" s="2" t="s">
        <v>620</v>
      </c>
      <c r="D341" s="2" t="s">
        <v>930</v>
      </c>
      <c r="E341" s="2" t="s">
        <v>931</v>
      </c>
      <c r="F341" s="2" t="s">
        <v>16</v>
      </c>
      <c r="G341" s="2" t="s">
        <v>17</v>
      </c>
      <c r="H341" s="2"/>
      <c r="I341" s="3" t="n">
        <v>37408</v>
      </c>
      <c r="J341" s="2" t="s">
        <v>19</v>
      </c>
      <c r="K341" s="2"/>
      <c r="L341" s="4" t="s">
        <v>241</v>
      </c>
    </row>
    <row r="342" customFormat="false" ht="13.35" hidden="false" customHeight="true" outlineLevel="0" collapsed="false">
      <c r="A342" s="5" t="str">
        <f aca="false">HYPERLINK("https://www.fabsurplus.com/sdi_catalog/salesItemDetails.do?id=91600")</f>
        <v>https://www.fabsurplus.com/sdi_catalog/salesItemDetails.do?id=91600</v>
      </c>
      <c r="B342" s="5" t="s">
        <v>932</v>
      </c>
      <c r="C342" s="5" t="s">
        <v>620</v>
      </c>
      <c r="D342" s="5" t="s">
        <v>930</v>
      </c>
      <c r="E342" s="5"/>
      <c r="F342" s="5" t="s">
        <v>16</v>
      </c>
      <c r="G342" s="5" t="s">
        <v>17</v>
      </c>
      <c r="H342" s="5"/>
      <c r="I342" s="6" t="n">
        <v>37408</v>
      </c>
      <c r="J342" s="5" t="s">
        <v>19</v>
      </c>
      <c r="K342" s="5"/>
      <c r="L342" s="5" t="s">
        <v>112</v>
      </c>
    </row>
    <row r="343" customFormat="false" ht="13.35" hidden="false" customHeight="true" outlineLevel="0" collapsed="false">
      <c r="A343" s="5" t="str">
        <f aca="false">HYPERLINK("https://www.fabsurplus.com/sdi_catalog/salesItemDetails.do?id=94443")</f>
        <v>https://www.fabsurplus.com/sdi_catalog/salesItemDetails.do?id=94443</v>
      </c>
      <c r="B343" s="5" t="s">
        <v>933</v>
      </c>
      <c r="C343" s="5" t="s">
        <v>620</v>
      </c>
      <c r="D343" s="5" t="s">
        <v>934</v>
      </c>
      <c r="E343" s="5" t="s">
        <v>935</v>
      </c>
      <c r="F343" s="5" t="s">
        <v>16</v>
      </c>
      <c r="G343" s="5" t="s">
        <v>17</v>
      </c>
      <c r="H343" s="5"/>
      <c r="I343" s="6" t="n">
        <v>37773</v>
      </c>
      <c r="J343" s="5" t="s">
        <v>19</v>
      </c>
      <c r="K343" s="5"/>
      <c r="L343" s="5" t="s">
        <v>936</v>
      </c>
    </row>
    <row r="344" customFormat="false" ht="13.35" hidden="false" customHeight="true" outlineLevel="0" collapsed="false">
      <c r="A344" s="2" t="str">
        <f aca="false">HYPERLINK("https://www.fabsurplus.com/sdi_catalog/salesItemDetails.do?id=91615")</f>
        <v>https://www.fabsurplus.com/sdi_catalog/salesItemDetails.do?id=91615</v>
      </c>
      <c r="B344" s="2" t="s">
        <v>937</v>
      </c>
      <c r="C344" s="2" t="s">
        <v>620</v>
      </c>
      <c r="D344" s="2" t="s">
        <v>938</v>
      </c>
      <c r="E344" s="2" t="s">
        <v>939</v>
      </c>
      <c r="F344" s="2" t="s">
        <v>16</v>
      </c>
      <c r="G344" s="2" t="s">
        <v>17</v>
      </c>
      <c r="H344" s="2"/>
      <c r="I344" s="2"/>
      <c r="J344" s="2" t="s">
        <v>19</v>
      </c>
      <c r="K344" s="2"/>
      <c r="L344" s="2" t="s">
        <v>112</v>
      </c>
    </row>
    <row r="345" customFormat="false" ht="13.35" hidden="false" customHeight="true" outlineLevel="0" collapsed="false">
      <c r="A345" s="2" t="str">
        <f aca="false">HYPERLINK("https://www.fabsurplus.com/sdi_catalog/salesItemDetails.do?id=91616")</f>
        <v>https://www.fabsurplus.com/sdi_catalog/salesItemDetails.do?id=91616</v>
      </c>
      <c r="B345" s="2" t="s">
        <v>940</v>
      </c>
      <c r="C345" s="2" t="s">
        <v>620</v>
      </c>
      <c r="D345" s="2" t="s">
        <v>938</v>
      </c>
      <c r="E345" s="2" t="s">
        <v>939</v>
      </c>
      <c r="F345" s="2" t="s">
        <v>16</v>
      </c>
      <c r="G345" s="2" t="s">
        <v>17</v>
      </c>
      <c r="H345" s="2"/>
      <c r="I345" s="2"/>
      <c r="J345" s="2" t="s">
        <v>19</v>
      </c>
      <c r="K345" s="2"/>
      <c r="L345" s="2" t="s">
        <v>112</v>
      </c>
    </row>
    <row r="346" customFormat="false" ht="13.35" hidden="false" customHeight="true" outlineLevel="0" collapsed="false">
      <c r="A346" s="5" t="str">
        <f aca="false">HYPERLINK("https://www.fabsurplus.com/sdi_catalog/salesItemDetails.do?id=91617")</f>
        <v>https://www.fabsurplus.com/sdi_catalog/salesItemDetails.do?id=91617</v>
      </c>
      <c r="B346" s="5" t="s">
        <v>941</v>
      </c>
      <c r="C346" s="5" t="s">
        <v>620</v>
      </c>
      <c r="D346" s="5" t="s">
        <v>938</v>
      </c>
      <c r="E346" s="5" t="s">
        <v>939</v>
      </c>
      <c r="F346" s="5" t="s">
        <v>16</v>
      </c>
      <c r="G346" s="5" t="s">
        <v>17</v>
      </c>
      <c r="H346" s="5"/>
      <c r="I346" s="5"/>
      <c r="J346" s="5" t="s">
        <v>19</v>
      </c>
      <c r="K346" s="5"/>
      <c r="L346" s="5" t="s">
        <v>112</v>
      </c>
    </row>
    <row r="347" customFormat="false" ht="13.35" hidden="false" customHeight="true" outlineLevel="0" collapsed="false">
      <c r="A347" s="2" t="str">
        <f aca="false">HYPERLINK("https://www.fabsurplus.com/sdi_catalog/salesItemDetails.do?id=91602")</f>
        <v>https://www.fabsurplus.com/sdi_catalog/salesItemDetails.do?id=91602</v>
      </c>
      <c r="B347" s="2" t="s">
        <v>942</v>
      </c>
      <c r="C347" s="2" t="s">
        <v>620</v>
      </c>
      <c r="D347" s="2" t="s">
        <v>938</v>
      </c>
      <c r="E347" s="2" t="s">
        <v>943</v>
      </c>
      <c r="F347" s="2" t="s">
        <v>16</v>
      </c>
      <c r="G347" s="2" t="s">
        <v>17</v>
      </c>
      <c r="H347" s="2"/>
      <c r="I347" s="2"/>
      <c r="J347" s="2" t="s">
        <v>19</v>
      </c>
      <c r="K347" s="2"/>
      <c r="L347" s="2" t="s">
        <v>112</v>
      </c>
    </row>
    <row r="348" customFormat="false" ht="13.35" hidden="false" customHeight="true" outlineLevel="0" collapsed="false">
      <c r="A348" s="5" t="str">
        <f aca="false">HYPERLINK("https://www.fabsurplus.com/sdi_catalog/salesItemDetails.do?id=91603")</f>
        <v>https://www.fabsurplus.com/sdi_catalog/salesItemDetails.do?id=91603</v>
      </c>
      <c r="B348" s="5" t="s">
        <v>944</v>
      </c>
      <c r="C348" s="5" t="s">
        <v>620</v>
      </c>
      <c r="D348" s="5" t="s">
        <v>938</v>
      </c>
      <c r="E348" s="5" t="s">
        <v>943</v>
      </c>
      <c r="F348" s="5" t="s">
        <v>16</v>
      </c>
      <c r="G348" s="5" t="s">
        <v>17</v>
      </c>
      <c r="H348" s="5"/>
      <c r="I348" s="5"/>
      <c r="J348" s="5" t="s">
        <v>19</v>
      </c>
      <c r="K348" s="5"/>
      <c r="L348" s="5" t="s">
        <v>112</v>
      </c>
    </row>
    <row r="349" customFormat="false" ht="13.35" hidden="false" customHeight="true" outlineLevel="0" collapsed="false">
      <c r="A349" s="5" t="str">
        <f aca="false">HYPERLINK("https://www.fabsurplus.com/sdi_catalog/salesItemDetails.do?id=91604")</f>
        <v>https://www.fabsurplus.com/sdi_catalog/salesItemDetails.do?id=91604</v>
      </c>
      <c r="B349" s="5" t="s">
        <v>945</v>
      </c>
      <c r="C349" s="5" t="s">
        <v>620</v>
      </c>
      <c r="D349" s="5" t="s">
        <v>938</v>
      </c>
      <c r="E349" s="5" t="s">
        <v>943</v>
      </c>
      <c r="F349" s="5" t="s">
        <v>16</v>
      </c>
      <c r="G349" s="5" t="s">
        <v>17</v>
      </c>
      <c r="H349" s="5"/>
      <c r="I349" s="5"/>
      <c r="J349" s="5" t="s">
        <v>19</v>
      </c>
      <c r="K349" s="5"/>
      <c r="L349" s="5" t="s">
        <v>112</v>
      </c>
    </row>
    <row r="350" customFormat="false" ht="13.35" hidden="false" customHeight="true" outlineLevel="0" collapsed="false">
      <c r="A350" s="5" t="str">
        <f aca="false">HYPERLINK("https://www.fabsurplus.com/sdi_catalog/salesItemDetails.do?id=91605")</f>
        <v>https://www.fabsurplus.com/sdi_catalog/salesItemDetails.do?id=91605</v>
      </c>
      <c r="B350" s="5" t="s">
        <v>946</v>
      </c>
      <c r="C350" s="5" t="s">
        <v>620</v>
      </c>
      <c r="D350" s="5" t="s">
        <v>938</v>
      </c>
      <c r="E350" s="5" t="s">
        <v>943</v>
      </c>
      <c r="F350" s="5" t="s">
        <v>16</v>
      </c>
      <c r="G350" s="5" t="s">
        <v>17</v>
      </c>
      <c r="H350" s="5"/>
      <c r="I350" s="5"/>
      <c r="J350" s="5" t="s">
        <v>19</v>
      </c>
      <c r="K350" s="5"/>
      <c r="L350" s="5" t="s">
        <v>112</v>
      </c>
    </row>
    <row r="351" customFormat="false" ht="13.35" hidden="false" customHeight="true" outlineLevel="0" collapsed="false">
      <c r="A351" s="5" t="str">
        <f aca="false">HYPERLINK("https://www.fabsurplus.com/sdi_catalog/salesItemDetails.do?id=91606")</f>
        <v>https://www.fabsurplus.com/sdi_catalog/salesItemDetails.do?id=91606</v>
      </c>
      <c r="B351" s="5" t="s">
        <v>947</v>
      </c>
      <c r="C351" s="5" t="s">
        <v>620</v>
      </c>
      <c r="D351" s="5" t="s">
        <v>938</v>
      </c>
      <c r="E351" s="5" t="s">
        <v>943</v>
      </c>
      <c r="F351" s="5" t="s">
        <v>16</v>
      </c>
      <c r="G351" s="5" t="s">
        <v>17</v>
      </c>
      <c r="H351" s="5"/>
      <c r="I351" s="5"/>
      <c r="J351" s="5" t="s">
        <v>19</v>
      </c>
      <c r="K351" s="5"/>
      <c r="L351" s="5" t="s">
        <v>112</v>
      </c>
    </row>
    <row r="352" customFormat="false" ht="13.35" hidden="false" customHeight="true" outlineLevel="0" collapsed="false">
      <c r="A352" s="5" t="str">
        <f aca="false">HYPERLINK("https://www.fabsurplus.com/sdi_catalog/salesItemDetails.do?id=91607")</f>
        <v>https://www.fabsurplus.com/sdi_catalog/salesItemDetails.do?id=91607</v>
      </c>
      <c r="B352" s="5" t="s">
        <v>948</v>
      </c>
      <c r="C352" s="5" t="s">
        <v>620</v>
      </c>
      <c r="D352" s="5" t="s">
        <v>938</v>
      </c>
      <c r="E352" s="5" t="s">
        <v>943</v>
      </c>
      <c r="F352" s="5" t="s">
        <v>16</v>
      </c>
      <c r="G352" s="5" t="s">
        <v>17</v>
      </c>
      <c r="H352" s="5"/>
      <c r="I352" s="5"/>
      <c r="J352" s="5" t="s">
        <v>19</v>
      </c>
      <c r="K352" s="5"/>
      <c r="L352" s="5" t="s">
        <v>112</v>
      </c>
    </row>
    <row r="353" customFormat="false" ht="13.35" hidden="false" customHeight="true" outlineLevel="0" collapsed="false">
      <c r="A353" s="5" t="str">
        <f aca="false">HYPERLINK("https://www.fabsurplus.com/sdi_catalog/salesItemDetails.do?id=91608")</f>
        <v>https://www.fabsurplus.com/sdi_catalog/salesItemDetails.do?id=91608</v>
      </c>
      <c r="B353" s="5" t="s">
        <v>949</v>
      </c>
      <c r="C353" s="5" t="s">
        <v>620</v>
      </c>
      <c r="D353" s="5" t="s">
        <v>938</v>
      </c>
      <c r="E353" s="5" t="s">
        <v>943</v>
      </c>
      <c r="F353" s="5" t="s">
        <v>16</v>
      </c>
      <c r="G353" s="5" t="s">
        <v>17</v>
      </c>
      <c r="H353" s="5"/>
      <c r="I353" s="5"/>
      <c r="J353" s="5" t="s">
        <v>19</v>
      </c>
      <c r="K353" s="5"/>
      <c r="L353" s="5" t="s">
        <v>112</v>
      </c>
    </row>
    <row r="354" customFormat="false" ht="13.35" hidden="false" customHeight="true" outlineLevel="0" collapsed="false">
      <c r="A354" s="5" t="str">
        <f aca="false">HYPERLINK("https://www.fabsurplus.com/sdi_catalog/salesItemDetails.do?id=94444")</f>
        <v>https://www.fabsurplus.com/sdi_catalog/salesItemDetails.do?id=94444</v>
      </c>
      <c r="B354" s="5" t="s">
        <v>950</v>
      </c>
      <c r="C354" s="5" t="s">
        <v>620</v>
      </c>
      <c r="D354" s="5" t="s">
        <v>951</v>
      </c>
      <c r="E354" s="5" t="s">
        <v>943</v>
      </c>
      <c r="F354" s="5" t="s">
        <v>16</v>
      </c>
      <c r="G354" s="5" t="s">
        <v>17</v>
      </c>
      <c r="H354" s="5"/>
      <c r="I354" s="6" t="n">
        <v>42887</v>
      </c>
      <c r="J354" s="5" t="s">
        <v>19</v>
      </c>
      <c r="K354" s="5"/>
      <c r="L354" s="5"/>
    </row>
    <row r="355" customFormat="false" ht="13.35" hidden="false" customHeight="true" outlineLevel="0" collapsed="false">
      <c r="A355" s="5" t="str">
        <f aca="false">HYPERLINK("https://www.fabsurplus.com/sdi_catalog/salesItemDetails.do?id=91609")</f>
        <v>https://www.fabsurplus.com/sdi_catalog/salesItemDetails.do?id=91609</v>
      </c>
      <c r="B355" s="5" t="s">
        <v>952</v>
      </c>
      <c r="C355" s="5" t="s">
        <v>620</v>
      </c>
      <c r="D355" s="5" t="s">
        <v>938</v>
      </c>
      <c r="E355" s="5" t="s">
        <v>953</v>
      </c>
      <c r="F355" s="5" t="s">
        <v>16</v>
      </c>
      <c r="G355" s="5" t="s">
        <v>17</v>
      </c>
      <c r="H355" s="5"/>
      <c r="I355" s="5"/>
      <c r="J355" s="5" t="s">
        <v>19</v>
      </c>
      <c r="K355" s="5"/>
      <c r="L355" s="5" t="s">
        <v>112</v>
      </c>
    </row>
    <row r="356" customFormat="false" ht="13.35" hidden="false" customHeight="true" outlineLevel="0" collapsed="false">
      <c r="A356" s="2" t="str">
        <f aca="false">HYPERLINK("https://www.fabsurplus.com/sdi_catalog/salesItemDetails.do?id=91612")</f>
        <v>https://www.fabsurplus.com/sdi_catalog/salesItemDetails.do?id=91612</v>
      </c>
      <c r="B356" s="2" t="s">
        <v>954</v>
      </c>
      <c r="C356" s="2" t="s">
        <v>620</v>
      </c>
      <c r="D356" s="2" t="s">
        <v>938</v>
      </c>
      <c r="E356" s="2" t="s">
        <v>953</v>
      </c>
      <c r="F356" s="2" t="s">
        <v>16</v>
      </c>
      <c r="G356" s="2" t="s">
        <v>17</v>
      </c>
      <c r="H356" s="2"/>
      <c r="I356" s="2"/>
      <c r="J356" s="2" t="s">
        <v>19</v>
      </c>
      <c r="K356" s="2"/>
      <c r="L356" s="2" t="s">
        <v>112</v>
      </c>
    </row>
    <row r="357" customFormat="false" ht="13.35" hidden="false" customHeight="true" outlineLevel="0" collapsed="false">
      <c r="A357" s="5" t="str">
        <f aca="false">HYPERLINK("https://www.fabsurplus.com/sdi_catalog/salesItemDetails.do?id=91613")</f>
        <v>https://www.fabsurplus.com/sdi_catalog/salesItemDetails.do?id=91613</v>
      </c>
      <c r="B357" s="5" t="s">
        <v>955</v>
      </c>
      <c r="C357" s="5" t="s">
        <v>620</v>
      </c>
      <c r="D357" s="5" t="s">
        <v>938</v>
      </c>
      <c r="E357" s="5" t="s">
        <v>953</v>
      </c>
      <c r="F357" s="5" t="s">
        <v>16</v>
      </c>
      <c r="G357" s="5" t="s">
        <v>17</v>
      </c>
      <c r="H357" s="5"/>
      <c r="I357" s="5"/>
      <c r="J357" s="5" t="s">
        <v>19</v>
      </c>
      <c r="K357" s="5"/>
      <c r="L357" s="5" t="s">
        <v>112</v>
      </c>
    </row>
    <row r="358" customFormat="false" ht="13.35" hidden="false" customHeight="true" outlineLevel="0" collapsed="false">
      <c r="A358" s="5" t="str">
        <f aca="false">HYPERLINK("https://www.fabsurplus.com/sdi_catalog/salesItemDetails.do?id=93106")</f>
        <v>https://www.fabsurplus.com/sdi_catalog/salesItemDetails.do?id=93106</v>
      </c>
      <c r="B358" s="5" t="s">
        <v>956</v>
      </c>
      <c r="C358" s="5" t="s">
        <v>620</v>
      </c>
      <c r="D358" s="5" t="s">
        <v>938</v>
      </c>
      <c r="E358" s="5" t="s">
        <v>953</v>
      </c>
      <c r="F358" s="5" t="s">
        <v>16</v>
      </c>
      <c r="G358" s="5" t="s">
        <v>663</v>
      </c>
      <c r="H358" s="5"/>
      <c r="I358" s="5"/>
      <c r="J358" s="5" t="s">
        <v>19</v>
      </c>
      <c r="K358" s="5"/>
      <c r="L358" s="5" t="s">
        <v>112</v>
      </c>
    </row>
    <row r="359" customFormat="false" ht="13.35" hidden="false" customHeight="true" outlineLevel="0" collapsed="false">
      <c r="A359" s="2" t="str">
        <f aca="false">HYPERLINK("https://www.fabsurplus.com/sdi_catalog/salesItemDetails.do?id=91610")</f>
        <v>https://www.fabsurplus.com/sdi_catalog/salesItemDetails.do?id=91610</v>
      </c>
      <c r="B359" s="2" t="s">
        <v>957</v>
      </c>
      <c r="C359" s="2" t="s">
        <v>620</v>
      </c>
      <c r="D359" s="2" t="s">
        <v>938</v>
      </c>
      <c r="E359" s="2" t="s">
        <v>958</v>
      </c>
      <c r="F359" s="2" t="s">
        <v>16</v>
      </c>
      <c r="G359" s="2" t="s">
        <v>17</v>
      </c>
      <c r="H359" s="2"/>
      <c r="I359" s="2"/>
      <c r="J359" s="2" t="s">
        <v>19</v>
      </c>
      <c r="K359" s="2"/>
      <c r="L359" s="2" t="s">
        <v>112</v>
      </c>
    </row>
    <row r="360" customFormat="false" ht="13.35" hidden="false" customHeight="true" outlineLevel="0" collapsed="false">
      <c r="A360" s="5" t="str">
        <f aca="false">HYPERLINK("https://www.fabsurplus.com/sdi_catalog/salesItemDetails.do?id=91611")</f>
        <v>https://www.fabsurplus.com/sdi_catalog/salesItemDetails.do?id=91611</v>
      </c>
      <c r="B360" s="5" t="s">
        <v>959</v>
      </c>
      <c r="C360" s="5" t="s">
        <v>620</v>
      </c>
      <c r="D360" s="5" t="s">
        <v>938</v>
      </c>
      <c r="E360" s="5" t="s">
        <v>958</v>
      </c>
      <c r="F360" s="5" t="s">
        <v>16</v>
      </c>
      <c r="G360" s="5" t="s">
        <v>17</v>
      </c>
      <c r="H360" s="5"/>
      <c r="I360" s="5"/>
      <c r="J360" s="5" t="s">
        <v>19</v>
      </c>
      <c r="K360" s="5"/>
      <c r="L360" s="5" t="s">
        <v>112</v>
      </c>
    </row>
    <row r="361" customFormat="false" ht="13.35" hidden="false" customHeight="true" outlineLevel="0" collapsed="false">
      <c r="A361" s="2" t="str">
        <f aca="false">HYPERLINK("https://www.fabsurplus.com/sdi_catalog/salesItemDetails.do?id=91618")</f>
        <v>https://www.fabsurplus.com/sdi_catalog/salesItemDetails.do?id=91618</v>
      </c>
      <c r="B361" s="2" t="s">
        <v>960</v>
      </c>
      <c r="C361" s="2" t="s">
        <v>620</v>
      </c>
      <c r="D361" s="2" t="s">
        <v>961</v>
      </c>
      <c r="E361" s="2" t="s">
        <v>962</v>
      </c>
      <c r="F361" s="2" t="s">
        <v>16</v>
      </c>
      <c r="G361" s="2" t="s">
        <v>17</v>
      </c>
      <c r="H361" s="2"/>
      <c r="I361" s="2"/>
      <c r="J361" s="2" t="s">
        <v>19</v>
      </c>
      <c r="K361" s="2"/>
      <c r="L361" s="2" t="s">
        <v>112</v>
      </c>
    </row>
    <row r="362" customFormat="false" ht="13.35" hidden="false" customHeight="true" outlineLevel="0" collapsed="false">
      <c r="A362" s="2" t="str">
        <f aca="false">HYPERLINK("https://www.fabsurplus.com/sdi_catalog/salesItemDetails.do?id=91622")</f>
        <v>https://www.fabsurplus.com/sdi_catalog/salesItemDetails.do?id=91622</v>
      </c>
      <c r="B362" s="2" t="s">
        <v>963</v>
      </c>
      <c r="C362" s="2" t="s">
        <v>620</v>
      </c>
      <c r="D362" s="2" t="s">
        <v>961</v>
      </c>
      <c r="E362" s="2" t="s">
        <v>964</v>
      </c>
      <c r="F362" s="2" t="s">
        <v>16</v>
      </c>
      <c r="G362" s="2" t="s">
        <v>17</v>
      </c>
      <c r="H362" s="2"/>
      <c r="I362" s="2"/>
      <c r="J362" s="2" t="s">
        <v>19</v>
      </c>
      <c r="K362" s="2"/>
      <c r="L362" s="2" t="s">
        <v>112</v>
      </c>
    </row>
    <row r="363" customFormat="false" ht="13.35" hidden="false" customHeight="true" outlineLevel="0" collapsed="false">
      <c r="A363" s="5" t="str">
        <f aca="false">HYPERLINK("https://www.fabsurplus.com/sdi_catalog/salesItemDetails.do?id=91621")</f>
        <v>https://www.fabsurplus.com/sdi_catalog/salesItemDetails.do?id=91621</v>
      </c>
      <c r="B363" s="5" t="s">
        <v>965</v>
      </c>
      <c r="C363" s="5" t="s">
        <v>620</v>
      </c>
      <c r="D363" s="5" t="s">
        <v>961</v>
      </c>
      <c r="E363" s="5" t="s">
        <v>966</v>
      </c>
      <c r="F363" s="5" t="s">
        <v>16</v>
      </c>
      <c r="G363" s="5" t="s">
        <v>17</v>
      </c>
      <c r="H363" s="5"/>
      <c r="I363" s="5"/>
      <c r="J363" s="5" t="s">
        <v>19</v>
      </c>
      <c r="K363" s="5"/>
      <c r="L363" s="5" t="s">
        <v>112</v>
      </c>
    </row>
    <row r="364" customFormat="false" ht="13.35" hidden="false" customHeight="true" outlineLevel="0" collapsed="false">
      <c r="A364" s="2" t="str">
        <f aca="false">HYPERLINK("https://www.fabsurplus.com/sdi_catalog/salesItemDetails.do?id=91623")</f>
        <v>https://www.fabsurplus.com/sdi_catalog/salesItemDetails.do?id=91623</v>
      </c>
      <c r="B364" s="2" t="s">
        <v>967</v>
      </c>
      <c r="C364" s="2" t="s">
        <v>620</v>
      </c>
      <c r="D364" s="2" t="s">
        <v>961</v>
      </c>
      <c r="E364" s="2" t="s">
        <v>968</v>
      </c>
      <c r="F364" s="2" t="s">
        <v>16</v>
      </c>
      <c r="G364" s="2" t="s">
        <v>17</v>
      </c>
      <c r="H364" s="2"/>
      <c r="I364" s="2"/>
      <c r="J364" s="2" t="s">
        <v>19</v>
      </c>
      <c r="K364" s="2"/>
      <c r="L364" s="2" t="s">
        <v>112</v>
      </c>
    </row>
    <row r="365" customFormat="false" ht="13.35" hidden="false" customHeight="true" outlineLevel="0" collapsed="false">
      <c r="A365" s="2" t="str">
        <f aca="false">HYPERLINK("https://www.fabsurplus.com/sdi_catalog/salesItemDetails.do?id=91620")</f>
        <v>https://www.fabsurplus.com/sdi_catalog/salesItemDetails.do?id=91620</v>
      </c>
      <c r="B365" s="2" t="s">
        <v>969</v>
      </c>
      <c r="C365" s="2" t="s">
        <v>620</v>
      </c>
      <c r="D365" s="2" t="s">
        <v>961</v>
      </c>
      <c r="E365" s="2" t="s">
        <v>970</v>
      </c>
      <c r="F365" s="2" t="s">
        <v>16</v>
      </c>
      <c r="G365" s="2" t="s">
        <v>17</v>
      </c>
      <c r="H365" s="2"/>
      <c r="I365" s="2"/>
      <c r="J365" s="2" t="s">
        <v>19</v>
      </c>
      <c r="K365" s="2"/>
      <c r="L365" s="2" t="s">
        <v>112</v>
      </c>
    </row>
    <row r="366" customFormat="false" ht="13.35" hidden="false" customHeight="true" outlineLevel="0" collapsed="false">
      <c r="A366" s="5" t="str">
        <f aca="false">HYPERLINK("https://www.fabsurplus.com/sdi_catalog/salesItemDetails.do?id=91619")</f>
        <v>https://www.fabsurplus.com/sdi_catalog/salesItemDetails.do?id=91619</v>
      </c>
      <c r="B366" s="5" t="s">
        <v>971</v>
      </c>
      <c r="C366" s="5" t="s">
        <v>620</v>
      </c>
      <c r="D366" s="5" t="s">
        <v>961</v>
      </c>
      <c r="E366" s="5" t="s">
        <v>972</v>
      </c>
      <c r="F366" s="5" t="s">
        <v>16</v>
      </c>
      <c r="G366" s="5" t="s">
        <v>17</v>
      </c>
      <c r="H366" s="5"/>
      <c r="I366" s="5"/>
      <c r="J366" s="5" t="s">
        <v>19</v>
      </c>
      <c r="K366" s="5"/>
      <c r="L366" s="5" t="s">
        <v>112</v>
      </c>
    </row>
    <row r="367" customFormat="false" ht="13.35" hidden="false" customHeight="true" outlineLevel="0" collapsed="false">
      <c r="A367" s="2" t="str">
        <f aca="false">HYPERLINK("https://www.fabsurplus.com/sdi_catalog/salesItemDetails.do?id=98262")</f>
        <v>https://www.fabsurplus.com/sdi_catalog/salesItemDetails.do?id=98262</v>
      </c>
      <c r="B367" s="2" t="s">
        <v>973</v>
      </c>
      <c r="C367" s="2" t="s">
        <v>620</v>
      </c>
      <c r="D367" s="2" t="s">
        <v>974</v>
      </c>
      <c r="E367" s="2" t="s">
        <v>899</v>
      </c>
      <c r="F367" s="2" t="s">
        <v>16</v>
      </c>
      <c r="G367" s="2" t="s">
        <v>17</v>
      </c>
      <c r="H367" s="2"/>
      <c r="I367" s="2"/>
      <c r="J367" s="2" t="s">
        <v>19</v>
      </c>
      <c r="K367" s="2"/>
      <c r="L367" s="2"/>
    </row>
    <row r="368" customFormat="false" ht="13.35" hidden="false" customHeight="true" outlineLevel="0" collapsed="false">
      <c r="A368" s="5" t="str">
        <f aca="false">HYPERLINK("https://www.fabsurplus.com/sdi_catalog/salesItemDetails.do?id=102581")</f>
        <v>https://www.fabsurplus.com/sdi_catalog/salesItemDetails.do?id=102581</v>
      </c>
      <c r="B368" s="5" t="s">
        <v>975</v>
      </c>
      <c r="C368" s="5" t="s">
        <v>620</v>
      </c>
      <c r="D368" s="5" t="s">
        <v>976</v>
      </c>
      <c r="E368" s="5" t="s">
        <v>977</v>
      </c>
      <c r="F368" s="5" t="s">
        <v>16</v>
      </c>
      <c r="G368" s="5" t="s">
        <v>17</v>
      </c>
      <c r="H368" s="5" t="s">
        <v>978</v>
      </c>
      <c r="I368" s="6" t="n">
        <v>38869</v>
      </c>
      <c r="J368" s="5" t="s">
        <v>19</v>
      </c>
      <c r="K368" s="5" t="s">
        <v>20</v>
      </c>
      <c r="L368" s="7" t="s">
        <v>979</v>
      </c>
    </row>
    <row r="369" customFormat="false" ht="13.35" hidden="false" customHeight="true" outlineLevel="0" collapsed="false">
      <c r="A369" s="5" t="str">
        <f aca="false">HYPERLINK("https://www.fabsurplus.com/sdi_catalog/salesItemDetails.do?id=103058")</f>
        <v>https://www.fabsurplus.com/sdi_catalog/salesItemDetails.do?id=103058</v>
      </c>
      <c r="B369" s="5" t="s">
        <v>980</v>
      </c>
      <c r="C369" s="5" t="s">
        <v>620</v>
      </c>
      <c r="D369" s="5" t="s">
        <v>981</v>
      </c>
      <c r="E369" s="5" t="s">
        <v>982</v>
      </c>
      <c r="F369" s="5" t="s">
        <v>16</v>
      </c>
      <c r="G369" s="5" t="s">
        <v>658</v>
      </c>
      <c r="H369" s="5"/>
      <c r="I369" s="5"/>
      <c r="J369" s="5" t="s">
        <v>19</v>
      </c>
      <c r="K369" s="5"/>
      <c r="L369" s="7" t="s">
        <v>983</v>
      </c>
    </row>
    <row r="370" customFormat="false" ht="13.35" hidden="false" customHeight="true" outlineLevel="0" collapsed="false">
      <c r="A370" s="2" t="str">
        <f aca="false">HYPERLINK("https://www.fabsurplus.com/sdi_catalog/salesItemDetails.do?id=103059")</f>
        <v>https://www.fabsurplus.com/sdi_catalog/salesItemDetails.do?id=103059</v>
      </c>
      <c r="B370" s="2" t="s">
        <v>984</v>
      </c>
      <c r="C370" s="2" t="s">
        <v>620</v>
      </c>
      <c r="D370" s="2" t="s">
        <v>985</v>
      </c>
      <c r="E370" s="2" t="s">
        <v>986</v>
      </c>
      <c r="F370" s="2" t="s">
        <v>16</v>
      </c>
      <c r="G370" s="2" t="s">
        <v>658</v>
      </c>
      <c r="H370" s="2"/>
      <c r="I370" s="2"/>
      <c r="J370" s="2" t="s">
        <v>19</v>
      </c>
      <c r="K370" s="2"/>
      <c r="L370" s="4" t="s">
        <v>987</v>
      </c>
    </row>
    <row r="371" customFormat="false" ht="13.35" hidden="false" customHeight="true" outlineLevel="0" collapsed="false">
      <c r="A371" s="2" t="str">
        <f aca="false">HYPERLINK("https://www.fabsurplus.com/sdi_catalog/salesItemDetails.do?id=103061")</f>
        <v>https://www.fabsurplus.com/sdi_catalog/salesItemDetails.do?id=103061</v>
      </c>
      <c r="B371" s="2" t="s">
        <v>988</v>
      </c>
      <c r="C371" s="2" t="s">
        <v>620</v>
      </c>
      <c r="D371" s="2" t="s">
        <v>989</v>
      </c>
      <c r="E371" s="2" t="s">
        <v>899</v>
      </c>
      <c r="F371" s="2" t="s">
        <v>16</v>
      </c>
      <c r="G371" s="2" t="s">
        <v>658</v>
      </c>
      <c r="H371" s="2"/>
      <c r="I371" s="2"/>
      <c r="J371" s="2" t="s">
        <v>19</v>
      </c>
      <c r="K371" s="2"/>
      <c r="L371" s="2" t="s">
        <v>990</v>
      </c>
    </row>
    <row r="372" customFormat="false" ht="13.35" hidden="false" customHeight="true" outlineLevel="0" collapsed="false">
      <c r="A372" s="2" t="str">
        <f aca="false">HYPERLINK("https://www.fabsurplus.com/sdi_catalog/salesItemDetails.do?id=103060")</f>
        <v>https://www.fabsurplus.com/sdi_catalog/salesItemDetails.do?id=103060</v>
      </c>
      <c r="B372" s="2" t="s">
        <v>991</v>
      </c>
      <c r="C372" s="2" t="s">
        <v>620</v>
      </c>
      <c r="D372" s="2" t="s">
        <v>989</v>
      </c>
      <c r="E372" s="2" t="s">
        <v>992</v>
      </c>
      <c r="F372" s="2" t="s">
        <v>16</v>
      </c>
      <c r="G372" s="2" t="s">
        <v>658</v>
      </c>
      <c r="H372" s="2"/>
      <c r="I372" s="3" t="n">
        <v>42522</v>
      </c>
      <c r="J372" s="2" t="s">
        <v>19</v>
      </c>
      <c r="K372" s="2"/>
      <c r="L372" s="4" t="s">
        <v>993</v>
      </c>
    </row>
    <row r="373" customFormat="false" ht="13.35" hidden="false" customHeight="true" outlineLevel="0" collapsed="false">
      <c r="A373" s="2" t="str">
        <f aca="false">HYPERLINK("https://www.fabsurplus.com/sdi_catalog/salesItemDetails.do?id=103062")</f>
        <v>https://www.fabsurplus.com/sdi_catalog/salesItemDetails.do?id=103062</v>
      </c>
      <c r="B373" s="2" t="s">
        <v>994</v>
      </c>
      <c r="C373" s="2" t="s">
        <v>620</v>
      </c>
      <c r="D373" s="2" t="s">
        <v>995</v>
      </c>
      <c r="E373" s="2" t="s">
        <v>996</v>
      </c>
      <c r="F373" s="2" t="s">
        <v>16</v>
      </c>
      <c r="G373" s="2" t="s">
        <v>658</v>
      </c>
      <c r="H373" s="2"/>
      <c r="I373" s="2"/>
      <c r="J373" s="2" t="s">
        <v>19</v>
      </c>
      <c r="K373" s="2"/>
      <c r="L373" s="4" t="s">
        <v>997</v>
      </c>
    </row>
    <row r="374" customFormat="false" ht="13.35" hidden="false" customHeight="true" outlineLevel="0" collapsed="false">
      <c r="A374" s="5" t="str">
        <f aca="false">HYPERLINK("https://www.fabsurplus.com/sdi_catalog/salesItemDetails.do?id=97053")</f>
        <v>https://www.fabsurplus.com/sdi_catalog/salesItemDetails.do?id=97053</v>
      </c>
      <c r="B374" s="5" t="s">
        <v>998</v>
      </c>
      <c r="C374" s="5" t="s">
        <v>620</v>
      </c>
      <c r="D374" s="5" t="s">
        <v>999</v>
      </c>
      <c r="E374" s="5" t="s">
        <v>1000</v>
      </c>
      <c r="F374" s="5" t="s">
        <v>16</v>
      </c>
      <c r="G374" s="5" t="s">
        <v>17</v>
      </c>
      <c r="H374" s="5" t="s">
        <v>26</v>
      </c>
      <c r="I374" s="5"/>
      <c r="J374" s="5" t="s">
        <v>19</v>
      </c>
      <c r="K374" s="5" t="s">
        <v>20</v>
      </c>
      <c r="L374" s="7" t="s">
        <v>1001</v>
      </c>
    </row>
    <row r="375" customFormat="false" ht="13.35" hidden="false" customHeight="true" outlineLevel="0" collapsed="false">
      <c r="A375" s="2" t="str">
        <f aca="false">HYPERLINK("https://www.fabsurplus.com/sdi_catalog/salesItemDetails.do?id=97054")</f>
        <v>https://www.fabsurplus.com/sdi_catalog/salesItemDetails.do?id=97054</v>
      </c>
      <c r="B375" s="2" t="s">
        <v>1002</v>
      </c>
      <c r="C375" s="2" t="s">
        <v>620</v>
      </c>
      <c r="D375" s="2" t="s">
        <v>999</v>
      </c>
      <c r="E375" s="2" t="s">
        <v>1003</v>
      </c>
      <c r="F375" s="2" t="s">
        <v>16</v>
      </c>
      <c r="G375" s="2" t="s">
        <v>17</v>
      </c>
      <c r="H375" s="2" t="s">
        <v>26</v>
      </c>
      <c r="I375" s="2"/>
      <c r="J375" s="2" t="s">
        <v>19</v>
      </c>
      <c r="K375" s="2" t="s">
        <v>20</v>
      </c>
      <c r="L375" s="4" t="s">
        <v>1001</v>
      </c>
    </row>
    <row r="376" customFormat="false" ht="13.35" hidden="false" customHeight="true" outlineLevel="0" collapsed="false">
      <c r="A376" s="5" t="str">
        <f aca="false">HYPERLINK("https://www.fabsurplus.com/sdi_catalog/salesItemDetails.do?id=97055")</f>
        <v>https://www.fabsurplus.com/sdi_catalog/salesItemDetails.do?id=97055</v>
      </c>
      <c r="B376" s="5" t="s">
        <v>1004</v>
      </c>
      <c r="C376" s="5" t="s">
        <v>620</v>
      </c>
      <c r="D376" s="5" t="s">
        <v>999</v>
      </c>
      <c r="E376" s="5" t="s">
        <v>1005</v>
      </c>
      <c r="F376" s="5" t="s">
        <v>16</v>
      </c>
      <c r="G376" s="5" t="s">
        <v>17</v>
      </c>
      <c r="H376" s="5" t="s">
        <v>26</v>
      </c>
      <c r="I376" s="5"/>
      <c r="J376" s="5" t="s">
        <v>19</v>
      </c>
      <c r="K376" s="5" t="s">
        <v>20</v>
      </c>
      <c r="L376" s="7" t="s">
        <v>1001</v>
      </c>
    </row>
    <row r="377" customFormat="false" ht="13.35" hidden="false" customHeight="true" outlineLevel="0" collapsed="false">
      <c r="A377" s="2" t="str">
        <f aca="false">HYPERLINK("https://www.fabsurplus.com/sdi_catalog/salesItemDetails.do?id=97056")</f>
        <v>https://www.fabsurplus.com/sdi_catalog/salesItemDetails.do?id=97056</v>
      </c>
      <c r="B377" s="2" t="s">
        <v>1006</v>
      </c>
      <c r="C377" s="2" t="s">
        <v>620</v>
      </c>
      <c r="D377" s="2" t="s">
        <v>999</v>
      </c>
      <c r="E377" s="2" t="s">
        <v>1007</v>
      </c>
      <c r="F377" s="2" t="s">
        <v>16</v>
      </c>
      <c r="G377" s="2" t="s">
        <v>17</v>
      </c>
      <c r="H377" s="2" t="s">
        <v>26</v>
      </c>
      <c r="I377" s="2"/>
      <c r="J377" s="2" t="s">
        <v>19</v>
      </c>
      <c r="K377" s="2" t="s">
        <v>20</v>
      </c>
      <c r="L377" s="4" t="s">
        <v>1001</v>
      </c>
    </row>
    <row r="378" customFormat="false" ht="13.35" hidden="false" customHeight="true" outlineLevel="0" collapsed="false">
      <c r="A378" s="5" t="str">
        <f aca="false">HYPERLINK("https://www.fabsurplus.com/sdi_catalog/salesItemDetails.do?id=97057")</f>
        <v>https://www.fabsurplus.com/sdi_catalog/salesItemDetails.do?id=97057</v>
      </c>
      <c r="B378" s="5" t="s">
        <v>1008</v>
      </c>
      <c r="C378" s="5" t="s">
        <v>620</v>
      </c>
      <c r="D378" s="5" t="s">
        <v>999</v>
      </c>
      <c r="E378" s="5" t="s">
        <v>1009</v>
      </c>
      <c r="F378" s="5" t="s">
        <v>16</v>
      </c>
      <c r="G378" s="5" t="s">
        <v>17</v>
      </c>
      <c r="H378" s="5" t="s">
        <v>26</v>
      </c>
      <c r="I378" s="5"/>
      <c r="J378" s="5" t="s">
        <v>19</v>
      </c>
      <c r="K378" s="5" t="s">
        <v>20</v>
      </c>
      <c r="L378" s="7" t="s">
        <v>1001</v>
      </c>
    </row>
    <row r="379" customFormat="false" ht="13.35" hidden="false" customHeight="true" outlineLevel="0" collapsed="false">
      <c r="A379" s="2" t="str">
        <f aca="false">HYPERLINK("https://www.fabsurplus.com/sdi_catalog/salesItemDetails.do?id=97058")</f>
        <v>https://www.fabsurplus.com/sdi_catalog/salesItemDetails.do?id=97058</v>
      </c>
      <c r="B379" s="2" t="s">
        <v>1010</v>
      </c>
      <c r="C379" s="2" t="s">
        <v>620</v>
      </c>
      <c r="D379" s="2" t="s">
        <v>999</v>
      </c>
      <c r="E379" s="2" t="s">
        <v>1011</v>
      </c>
      <c r="F379" s="2" t="s">
        <v>16</v>
      </c>
      <c r="G379" s="2" t="s">
        <v>17</v>
      </c>
      <c r="H379" s="2" t="s">
        <v>26</v>
      </c>
      <c r="I379" s="2"/>
      <c r="J379" s="2" t="s">
        <v>19</v>
      </c>
      <c r="K379" s="2" t="s">
        <v>20</v>
      </c>
      <c r="L379" s="4" t="s">
        <v>1001</v>
      </c>
    </row>
    <row r="380" customFormat="false" ht="13.35" hidden="false" customHeight="true" outlineLevel="0" collapsed="false">
      <c r="A380" s="5" t="str">
        <f aca="false">HYPERLINK("https://www.fabsurplus.com/sdi_catalog/salesItemDetails.do?id=97059")</f>
        <v>https://www.fabsurplus.com/sdi_catalog/salesItemDetails.do?id=97059</v>
      </c>
      <c r="B380" s="5" t="s">
        <v>1012</v>
      </c>
      <c r="C380" s="5" t="s">
        <v>620</v>
      </c>
      <c r="D380" s="5" t="s">
        <v>999</v>
      </c>
      <c r="E380" s="5" t="s">
        <v>1011</v>
      </c>
      <c r="F380" s="5" t="s">
        <v>16</v>
      </c>
      <c r="G380" s="5" t="s">
        <v>17</v>
      </c>
      <c r="H380" s="5" t="s">
        <v>26</v>
      </c>
      <c r="I380" s="5"/>
      <c r="J380" s="5" t="s">
        <v>19</v>
      </c>
      <c r="K380" s="5" t="s">
        <v>20</v>
      </c>
      <c r="L380" s="7" t="s">
        <v>1001</v>
      </c>
    </row>
    <row r="381" customFormat="false" ht="13.35" hidden="false" customHeight="true" outlineLevel="0" collapsed="false">
      <c r="A381" s="5" t="str">
        <f aca="false">HYPERLINK("https://www.fabsurplus.com/sdi_catalog/salesItemDetails.do?id=94445")</f>
        <v>https://www.fabsurplus.com/sdi_catalog/salesItemDetails.do?id=94445</v>
      </c>
      <c r="B381" s="5" t="s">
        <v>1013</v>
      </c>
      <c r="C381" s="5" t="s">
        <v>620</v>
      </c>
      <c r="D381" s="5" t="s">
        <v>1014</v>
      </c>
      <c r="E381" s="5" t="s">
        <v>1015</v>
      </c>
      <c r="F381" s="5" t="s">
        <v>16</v>
      </c>
      <c r="G381" s="5" t="s">
        <v>17</v>
      </c>
      <c r="H381" s="5"/>
      <c r="I381" s="5"/>
      <c r="J381" s="5" t="s">
        <v>19</v>
      </c>
      <c r="K381" s="5"/>
      <c r="L381" s="5"/>
    </row>
    <row r="382" customFormat="false" ht="13.35" hidden="false" customHeight="true" outlineLevel="0" collapsed="false">
      <c r="A382" s="5" t="str">
        <f aca="false">HYPERLINK("https://www.fabsurplus.com/sdi_catalog/salesItemDetails.do?id=97060")</f>
        <v>https://www.fabsurplus.com/sdi_catalog/salesItemDetails.do?id=97060</v>
      </c>
      <c r="B382" s="5" t="s">
        <v>1016</v>
      </c>
      <c r="C382" s="5" t="s">
        <v>620</v>
      </c>
      <c r="D382" s="5" t="s">
        <v>1014</v>
      </c>
      <c r="E382" s="5" t="s">
        <v>1017</v>
      </c>
      <c r="F382" s="5" t="s">
        <v>16</v>
      </c>
      <c r="G382" s="5" t="s">
        <v>17</v>
      </c>
      <c r="H382" s="5" t="s">
        <v>26</v>
      </c>
      <c r="I382" s="5"/>
      <c r="J382" s="5" t="s">
        <v>19</v>
      </c>
      <c r="K382" s="5" t="s">
        <v>20</v>
      </c>
      <c r="L382" s="7" t="s">
        <v>1001</v>
      </c>
    </row>
    <row r="383" customFormat="false" ht="13.35" hidden="false" customHeight="true" outlineLevel="0" collapsed="false">
      <c r="A383" s="2" t="str">
        <f aca="false">HYPERLINK("https://www.fabsurplus.com/sdi_catalog/salesItemDetails.do?id=97061")</f>
        <v>https://www.fabsurplus.com/sdi_catalog/salesItemDetails.do?id=97061</v>
      </c>
      <c r="B383" s="2" t="s">
        <v>1018</v>
      </c>
      <c r="C383" s="2" t="s">
        <v>620</v>
      </c>
      <c r="D383" s="2" t="s">
        <v>1014</v>
      </c>
      <c r="E383" s="2" t="s">
        <v>1017</v>
      </c>
      <c r="F383" s="2" t="s">
        <v>16</v>
      </c>
      <c r="G383" s="2" t="s">
        <v>17</v>
      </c>
      <c r="H383" s="2" t="s">
        <v>26</v>
      </c>
      <c r="I383" s="2"/>
      <c r="J383" s="2" t="s">
        <v>19</v>
      </c>
      <c r="K383" s="2" t="s">
        <v>20</v>
      </c>
      <c r="L383" s="4" t="s">
        <v>1001</v>
      </c>
    </row>
    <row r="384" customFormat="false" ht="13.35" hidden="false" customHeight="true" outlineLevel="0" collapsed="false">
      <c r="A384" s="5" t="str">
        <f aca="false">HYPERLINK("https://www.fabsurplus.com/sdi_catalog/salesItemDetails.do?id=97062")</f>
        <v>https://www.fabsurplus.com/sdi_catalog/salesItemDetails.do?id=97062</v>
      </c>
      <c r="B384" s="5" t="s">
        <v>1019</v>
      </c>
      <c r="C384" s="5" t="s">
        <v>620</v>
      </c>
      <c r="D384" s="5" t="s">
        <v>1014</v>
      </c>
      <c r="E384" s="5" t="s">
        <v>1017</v>
      </c>
      <c r="F384" s="5" t="s">
        <v>16</v>
      </c>
      <c r="G384" s="5" t="s">
        <v>17</v>
      </c>
      <c r="H384" s="5" t="s">
        <v>26</v>
      </c>
      <c r="I384" s="5"/>
      <c r="J384" s="5" t="s">
        <v>19</v>
      </c>
      <c r="K384" s="5" t="s">
        <v>20</v>
      </c>
      <c r="L384" s="7" t="s">
        <v>1001</v>
      </c>
    </row>
    <row r="385" customFormat="false" ht="13.35" hidden="false" customHeight="true" outlineLevel="0" collapsed="false">
      <c r="A385" s="5" t="str">
        <f aca="false">HYPERLINK("https://www.fabsurplus.com/sdi_catalog/salesItemDetails.do?id=97063")</f>
        <v>https://www.fabsurplus.com/sdi_catalog/salesItemDetails.do?id=97063</v>
      </c>
      <c r="B385" s="5" t="s">
        <v>1020</v>
      </c>
      <c r="C385" s="5" t="s">
        <v>620</v>
      </c>
      <c r="D385" s="5" t="s">
        <v>1014</v>
      </c>
      <c r="E385" s="5" t="s">
        <v>1017</v>
      </c>
      <c r="F385" s="5" t="s">
        <v>16</v>
      </c>
      <c r="G385" s="5" t="s">
        <v>17</v>
      </c>
      <c r="H385" s="5" t="s">
        <v>18</v>
      </c>
      <c r="I385" s="5"/>
      <c r="J385" s="5" t="s">
        <v>19</v>
      </c>
      <c r="K385" s="5" t="s">
        <v>20</v>
      </c>
      <c r="L385" s="7" t="s">
        <v>1001</v>
      </c>
    </row>
    <row r="386" customFormat="false" ht="13.35" hidden="false" customHeight="true" outlineLevel="0" collapsed="false">
      <c r="A386" s="5" t="str">
        <f aca="false">HYPERLINK("https://www.fabsurplus.com/sdi_catalog/salesItemDetails.do?id=91284")</f>
        <v>https://www.fabsurplus.com/sdi_catalog/salesItemDetails.do?id=91284</v>
      </c>
      <c r="B386" s="5" t="s">
        <v>1021</v>
      </c>
      <c r="C386" s="5" t="s">
        <v>620</v>
      </c>
      <c r="D386" s="5" t="s">
        <v>1022</v>
      </c>
      <c r="E386" s="5" t="s">
        <v>1023</v>
      </c>
      <c r="F386" s="5" t="s">
        <v>16</v>
      </c>
      <c r="G386" s="5" t="s">
        <v>17</v>
      </c>
      <c r="H386" s="5"/>
      <c r="I386" s="5"/>
      <c r="J386" s="5" t="s">
        <v>19</v>
      </c>
      <c r="K386" s="5"/>
      <c r="L386" s="5" t="s">
        <v>112</v>
      </c>
    </row>
    <row r="387" customFormat="false" ht="13.35" hidden="false" customHeight="true" outlineLevel="0" collapsed="false">
      <c r="A387" s="5" t="str">
        <f aca="false">HYPERLINK("https://www.fabsurplus.com/sdi_catalog/salesItemDetails.do?id=91285")</f>
        <v>https://www.fabsurplus.com/sdi_catalog/salesItemDetails.do?id=91285</v>
      </c>
      <c r="B387" s="5" t="s">
        <v>1024</v>
      </c>
      <c r="C387" s="5" t="s">
        <v>620</v>
      </c>
      <c r="D387" s="5" t="s">
        <v>1022</v>
      </c>
      <c r="E387" s="5" t="s">
        <v>1023</v>
      </c>
      <c r="F387" s="5" t="s">
        <v>16</v>
      </c>
      <c r="G387" s="5" t="s">
        <v>17</v>
      </c>
      <c r="H387" s="5"/>
      <c r="I387" s="5"/>
      <c r="J387" s="5" t="s">
        <v>19</v>
      </c>
      <c r="K387" s="5"/>
      <c r="L387" s="5" t="s">
        <v>112</v>
      </c>
    </row>
    <row r="388" customFormat="false" ht="13.35" hidden="false" customHeight="true" outlineLevel="0" collapsed="false">
      <c r="A388" s="5" t="str">
        <f aca="false">HYPERLINK("https://www.fabsurplus.com/sdi_catalog/salesItemDetails.do?id=100886")</f>
        <v>https://www.fabsurplus.com/sdi_catalog/salesItemDetails.do?id=100886</v>
      </c>
      <c r="B388" s="5" t="s">
        <v>1025</v>
      </c>
      <c r="C388" s="5" t="s">
        <v>620</v>
      </c>
      <c r="D388" s="5" t="s">
        <v>1026</v>
      </c>
      <c r="E388" s="5" t="s">
        <v>1027</v>
      </c>
      <c r="F388" s="5" t="s">
        <v>16</v>
      </c>
      <c r="G388" s="5" t="s">
        <v>36</v>
      </c>
      <c r="H388" s="5" t="s">
        <v>96</v>
      </c>
      <c r="I388" s="6" t="n">
        <v>36312</v>
      </c>
      <c r="J388" s="5" t="s">
        <v>47</v>
      </c>
      <c r="K388" s="5" t="s">
        <v>815</v>
      </c>
      <c r="L388" s="7" t="s">
        <v>1028</v>
      </c>
    </row>
    <row r="389" customFormat="false" ht="13.35" hidden="false" customHeight="true" outlineLevel="0" collapsed="false">
      <c r="A389" s="5" t="str">
        <f aca="false">HYPERLINK("https://www.fabsurplus.com/sdi_catalog/salesItemDetails.do?id=100868")</f>
        <v>https://www.fabsurplus.com/sdi_catalog/salesItemDetails.do?id=100868</v>
      </c>
      <c r="B389" s="5" t="s">
        <v>1029</v>
      </c>
      <c r="C389" s="5" t="s">
        <v>620</v>
      </c>
      <c r="D389" s="5" t="s">
        <v>1030</v>
      </c>
      <c r="E389" s="5" t="s">
        <v>1031</v>
      </c>
      <c r="F389" s="5" t="s">
        <v>16</v>
      </c>
      <c r="G389" s="5" t="s">
        <v>36</v>
      </c>
      <c r="H389" s="5" t="s">
        <v>96</v>
      </c>
      <c r="I389" s="5"/>
      <c r="J389" s="5" t="s">
        <v>47</v>
      </c>
      <c r="K389" s="5" t="s">
        <v>1032</v>
      </c>
      <c r="L389" s="5" t="s">
        <v>1033</v>
      </c>
    </row>
    <row r="390" customFormat="false" ht="13.35" hidden="false" customHeight="true" outlineLevel="0" collapsed="false">
      <c r="A390" s="2" t="str">
        <f aca="false">HYPERLINK("https://www.fabsurplus.com/sdi_catalog/salesItemDetails.do?id=96534")</f>
        <v>https://www.fabsurplus.com/sdi_catalog/salesItemDetails.do?id=96534</v>
      </c>
      <c r="B390" s="2" t="s">
        <v>1034</v>
      </c>
      <c r="C390" s="2" t="s">
        <v>620</v>
      </c>
      <c r="D390" s="2" t="s">
        <v>1030</v>
      </c>
      <c r="E390" s="2" t="s">
        <v>1035</v>
      </c>
      <c r="F390" s="2" t="s">
        <v>16</v>
      </c>
      <c r="G390" s="2" t="s">
        <v>36</v>
      </c>
      <c r="H390" s="2" t="s">
        <v>96</v>
      </c>
      <c r="I390" s="2"/>
      <c r="J390" s="2" t="s">
        <v>47</v>
      </c>
      <c r="K390" s="2"/>
      <c r="L390" s="4" t="s">
        <v>1036</v>
      </c>
    </row>
    <row r="391" customFormat="false" ht="13.35" hidden="false" customHeight="true" outlineLevel="0" collapsed="false">
      <c r="A391" s="5" t="str">
        <f aca="false">HYPERLINK("https://www.fabsurplus.com/sdi_catalog/salesItemDetails.do?id=100873")</f>
        <v>https://www.fabsurplus.com/sdi_catalog/salesItemDetails.do?id=100873</v>
      </c>
      <c r="B391" s="5" t="s">
        <v>1037</v>
      </c>
      <c r="C391" s="5" t="s">
        <v>620</v>
      </c>
      <c r="D391" s="5" t="s">
        <v>1038</v>
      </c>
      <c r="E391" s="5" t="s">
        <v>1039</v>
      </c>
      <c r="F391" s="5" t="s">
        <v>16</v>
      </c>
      <c r="G391" s="5" t="s">
        <v>36</v>
      </c>
      <c r="H391" s="5" t="s">
        <v>96</v>
      </c>
      <c r="I391" s="6" t="n">
        <v>36312</v>
      </c>
      <c r="J391" s="5" t="s">
        <v>47</v>
      </c>
      <c r="K391" s="5"/>
      <c r="L391" s="7" t="s">
        <v>1040</v>
      </c>
    </row>
    <row r="392" customFormat="false" ht="13.35" hidden="false" customHeight="true" outlineLevel="0" collapsed="false">
      <c r="A392" s="5" t="str">
        <f aca="false">HYPERLINK("https://www.fabsurplus.com/sdi_catalog/salesItemDetails.do?id=96537")</f>
        <v>https://www.fabsurplus.com/sdi_catalog/salesItemDetails.do?id=96537</v>
      </c>
      <c r="B392" s="5" t="s">
        <v>1041</v>
      </c>
      <c r="C392" s="5" t="s">
        <v>620</v>
      </c>
      <c r="D392" s="5" t="s">
        <v>1042</v>
      </c>
      <c r="E392" s="5" t="s">
        <v>1043</v>
      </c>
      <c r="F392" s="5" t="s">
        <v>16</v>
      </c>
      <c r="G392" s="5" t="s">
        <v>36</v>
      </c>
      <c r="H392" s="5" t="s">
        <v>96</v>
      </c>
      <c r="I392" s="6" t="n">
        <v>36312</v>
      </c>
      <c r="J392" s="5" t="s">
        <v>47</v>
      </c>
      <c r="K392" s="5"/>
      <c r="L392" s="7" t="s">
        <v>1044</v>
      </c>
    </row>
    <row r="393" customFormat="false" ht="13.35" hidden="false" customHeight="true" outlineLevel="0" collapsed="false">
      <c r="A393" s="2" t="str">
        <f aca="false">HYPERLINK("https://www.fabsurplus.com/sdi_catalog/salesItemDetails.do?id=96538")</f>
        <v>https://www.fabsurplus.com/sdi_catalog/salesItemDetails.do?id=96538</v>
      </c>
      <c r="B393" s="2" t="s">
        <v>1045</v>
      </c>
      <c r="C393" s="2" t="s">
        <v>620</v>
      </c>
      <c r="D393" s="2" t="s">
        <v>1042</v>
      </c>
      <c r="E393" s="2" t="s">
        <v>1043</v>
      </c>
      <c r="F393" s="2" t="s">
        <v>16</v>
      </c>
      <c r="G393" s="2" t="s">
        <v>36</v>
      </c>
      <c r="H393" s="2" t="s">
        <v>96</v>
      </c>
      <c r="I393" s="3" t="n">
        <v>36312</v>
      </c>
      <c r="J393" s="2" t="s">
        <v>47</v>
      </c>
      <c r="K393" s="2"/>
      <c r="L393" s="4" t="s">
        <v>1046</v>
      </c>
    </row>
    <row r="394" customFormat="false" ht="13.35" hidden="false" customHeight="true" outlineLevel="0" collapsed="false">
      <c r="A394" s="2" t="str">
        <f aca="false">HYPERLINK("https://www.fabsurplus.com/sdi_catalog/salesItemDetails.do?id=102100")</f>
        <v>https://www.fabsurplus.com/sdi_catalog/salesItemDetails.do?id=102100</v>
      </c>
      <c r="B394" s="2" t="s">
        <v>1047</v>
      </c>
      <c r="C394" s="2" t="s">
        <v>620</v>
      </c>
      <c r="D394" s="2" t="s">
        <v>1048</v>
      </c>
      <c r="E394" s="2" t="s">
        <v>1049</v>
      </c>
      <c r="F394" s="2" t="s">
        <v>16</v>
      </c>
      <c r="G394" s="2" t="s">
        <v>17</v>
      </c>
      <c r="H394" s="2"/>
      <c r="I394" s="3" t="n">
        <v>37408</v>
      </c>
      <c r="J394" s="2" t="s">
        <v>19</v>
      </c>
      <c r="K394" s="2"/>
      <c r="L394" s="2"/>
    </row>
    <row r="395" customFormat="false" ht="13.35" hidden="false" customHeight="true" outlineLevel="0" collapsed="false">
      <c r="A395" s="2" t="str">
        <f aca="false">HYPERLINK("https://www.fabsurplus.com/sdi_catalog/salesItemDetails.do?id=102101")</f>
        <v>https://www.fabsurplus.com/sdi_catalog/salesItemDetails.do?id=102101</v>
      </c>
      <c r="B395" s="2" t="s">
        <v>1050</v>
      </c>
      <c r="C395" s="2" t="s">
        <v>620</v>
      </c>
      <c r="D395" s="2" t="s">
        <v>1048</v>
      </c>
      <c r="E395" s="2" t="s">
        <v>1049</v>
      </c>
      <c r="F395" s="2" t="s">
        <v>16</v>
      </c>
      <c r="G395" s="2" t="s">
        <v>17</v>
      </c>
      <c r="H395" s="2"/>
      <c r="I395" s="3" t="n">
        <v>37408</v>
      </c>
      <c r="J395" s="2" t="s">
        <v>19</v>
      </c>
      <c r="K395" s="2"/>
      <c r="L395" s="2"/>
    </row>
    <row r="396" customFormat="false" ht="13.35" hidden="false" customHeight="true" outlineLevel="0" collapsed="false">
      <c r="A396" s="2" t="str">
        <f aca="false">HYPERLINK("https://www.fabsurplus.com/sdi_catalog/salesItemDetails.do?id=102102")</f>
        <v>https://www.fabsurplus.com/sdi_catalog/salesItemDetails.do?id=102102</v>
      </c>
      <c r="B396" s="2" t="s">
        <v>1051</v>
      </c>
      <c r="C396" s="2" t="s">
        <v>620</v>
      </c>
      <c r="D396" s="2" t="s">
        <v>1048</v>
      </c>
      <c r="E396" s="2" t="s">
        <v>1052</v>
      </c>
      <c r="F396" s="2" t="s">
        <v>16</v>
      </c>
      <c r="G396" s="2" t="s">
        <v>17</v>
      </c>
      <c r="H396" s="2"/>
      <c r="I396" s="3" t="n">
        <v>37773</v>
      </c>
      <c r="J396" s="2" t="s">
        <v>19</v>
      </c>
      <c r="K396" s="2"/>
      <c r="L396" s="2"/>
    </row>
    <row r="397" customFormat="false" ht="13.35" hidden="false" customHeight="true" outlineLevel="0" collapsed="false">
      <c r="A397" s="2" t="str">
        <f aca="false">HYPERLINK("https://www.fabsurplus.com/sdi_catalog/salesItemDetails.do?id=102103")</f>
        <v>https://www.fabsurplus.com/sdi_catalog/salesItemDetails.do?id=102103</v>
      </c>
      <c r="B397" s="2" t="s">
        <v>1053</v>
      </c>
      <c r="C397" s="2" t="s">
        <v>620</v>
      </c>
      <c r="D397" s="2" t="s">
        <v>1048</v>
      </c>
      <c r="E397" s="2" t="s">
        <v>1054</v>
      </c>
      <c r="F397" s="2" t="s">
        <v>16</v>
      </c>
      <c r="G397" s="2" t="s">
        <v>17</v>
      </c>
      <c r="H397" s="2"/>
      <c r="I397" s="3" t="n">
        <v>38139</v>
      </c>
      <c r="J397" s="2" t="s">
        <v>19</v>
      </c>
      <c r="K397" s="2"/>
      <c r="L397" s="2"/>
    </row>
    <row r="398" customFormat="false" ht="13.35" hidden="false" customHeight="true" outlineLevel="0" collapsed="false">
      <c r="A398" s="2" t="str">
        <f aca="false">HYPERLINK("https://www.fabsurplus.com/sdi_catalog/salesItemDetails.do?id=102104")</f>
        <v>https://www.fabsurplus.com/sdi_catalog/salesItemDetails.do?id=102104</v>
      </c>
      <c r="B398" s="2" t="s">
        <v>1055</v>
      </c>
      <c r="C398" s="2" t="s">
        <v>620</v>
      </c>
      <c r="D398" s="2" t="s">
        <v>1048</v>
      </c>
      <c r="E398" s="2" t="s">
        <v>1054</v>
      </c>
      <c r="F398" s="2" t="s">
        <v>16</v>
      </c>
      <c r="G398" s="2" t="s">
        <v>17</v>
      </c>
      <c r="H398" s="2"/>
      <c r="I398" s="3" t="n">
        <v>38139</v>
      </c>
      <c r="J398" s="2" t="s">
        <v>19</v>
      </c>
      <c r="K398" s="2"/>
      <c r="L398" s="2"/>
    </row>
    <row r="399" customFormat="false" ht="13.35" hidden="false" customHeight="true" outlineLevel="0" collapsed="false">
      <c r="A399" s="5" t="str">
        <f aca="false">HYPERLINK("https://www.fabsurplus.com/sdi_catalog/salesItemDetails.do?id=102105")</f>
        <v>https://www.fabsurplus.com/sdi_catalog/salesItemDetails.do?id=102105</v>
      </c>
      <c r="B399" s="5" t="s">
        <v>1056</v>
      </c>
      <c r="C399" s="5" t="s">
        <v>620</v>
      </c>
      <c r="D399" s="5" t="s">
        <v>1048</v>
      </c>
      <c r="E399" s="5" t="s">
        <v>1054</v>
      </c>
      <c r="F399" s="5" t="s">
        <v>16</v>
      </c>
      <c r="G399" s="5" t="s">
        <v>17</v>
      </c>
      <c r="H399" s="5"/>
      <c r="I399" s="6" t="n">
        <v>38139</v>
      </c>
      <c r="J399" s="5" t="s">
        <v>19</v>
      </c>
      <c r="K399" s="5"/>
      <c r="L399" s="5"/>
    </row>
    <row r="400" customFormat="false" ht="13.35" hidden="false" customHeight="true" outlineLevel="0" collapsed="false">
      <c r="A400" s="2" t="str">
        <f aca="false">HYPERLINK("https://www.fabsurplus.com/sdi_catalog/salesItemDetails.do?id=102106")</f>
        <v>https://www.fabsurplus.com/sdi_catalog/salesItemDetails.do?id=102106</v>
      </c>
      <c r="B400" s="2" t="s">
        <v>1057</v>
      </c>
      <c r="C400" s="2" t="s">
        <v>620</v>
      </c>
      <c r="D400" s="2" t="s">
        <v>1058</v>
      </c>
      <c r="E400" s="2" t="s">
        <v>1059</v>
      </c>
      <c r="F400" s="2" t="s">
        <v>16</v>
      </c>
      <c r="G400" s="2" t="s">
        <v>17</v>
      </c>
      <c r="H400" s="2"/>
      <c r="I400" s="3" t="n">
        <v>42156</v>
      </c>
      <c r="J400" s="2" t="s">
        <v>19</v>
      </c>
      <c r="K400" s="2"/>
      <c r="L400" s="2"/>
    </row>
    <row r="401" customFormat="false" ht="13.35" hidden="false" customHeight="true" outlineLevel="0" collapsed="false">
      <c r="A401" s="5" t="str">
        <f aca="false">HYPERLINK("https://www.fabsurplus.com/sdi_catalog/salesItemDetails.do?id=92429")</f>
        <v>https://www.fabsurplus.com/sdi_catalog/salesItemDetails.do?id=92429</v>
      </c>
      <c r="B401" s="5" t="s">
        <v>1060</v>
      </c>
      <c r="C401" s="5" t="s">
        <v>620</v>
      </c>
      <c r="D401" s="5" t="s">
        <v>1061</v>
      </c>
      <c r="E401" s="5" t="s">
        <v>829</v>
      </c>
      <c r="F401" s="5" t="s">
        <v>16</v>
      </c>
      <c r="G401" s="5"/>
      <c r="H401" s="5"/>
      <c r="I401" s="5"/>
      <c r="J401" s="5" t="s">
        <v>47</v>
      </c>
      <c r="K401" s="5"/>
      <c r="L401" s="5" t="s">
        <v>48</v>
      </c>
    </row>
    <row r="402" customFormat="false" ht="13.35" hidden="false" customHeight="true" outlineLevel="0" collapsed="false">
      <c r="A402" s="2" t="str">
        <f aca="false">HYPERLINK("https://www.fabsurplus.com/sdi_catalog/salesItemDetails.do?id=91286")</f>
        <v>https://www.fabsurplus.com/sdi_catalog/salesItemDetails.do?id=91286</v>
      </c>
      <c r="B402" s="2" t="s">
        <v>1062</v>
      </c>
      <c r="C402" s="2" t="s">
        <v>620</v>
      </c>
      <c r="D402" s="2" t="s">
        <v>1061</v>
      </c>
      <c r="E402" s="2" t="s">
        <v>1063</v>
      </c>
      <c r="F402" s="2" t="s">
        <v>16</v>
      </c>
      <c r="G402" s="2" t="s">
        <v>493</v>
      </c>
      <c r="H402" s="2"/>
      <c r="I402" s="2"/>
      <c r="J402" s="2" t="s">
        <v>19</v>
      </c>
      <c r="K402" s="2"/>
      <c r="L402" s="2" t="s">
        <v>112</v>
      </c>
    </row>
    <row r="403" customFormat="false" ht="13.35" hidden="false" customHeight="true" outlineLevel="0" collapsed="false">
      <c r="A403" s="5" t="str">
        <f aca="false">HYPERLINK("https://www.fabsurplus.com/sdi_catalog/salesItemDetails.do?id=91287")</f>
        <v>https://www.fabsurplus.com/sdi_catalog/salesItemDetails.do?id=91287</v>
      </c>
      <c r="B403" s="5" t="s">
        <v>1064</v>
      </c>
      <c r="C403" s="5" t="s">
        <v>620</v>
      </c>
      <c r="D403" s="5" t="s">
        <v>1061</v>
      </c>
      <c r="E403" s="5" t="s">
        <v>1063</v>
      </c>
      <c r="F403" s="5" t="s">
        <v>16</v>
      </c>
      <c r="G403" s="5" t="s">
        <v>493</v>
      </c>
      <c r="H403" s="5"/>
      <c r="I403" s="6" t="n">
        <v>34121</v>
      </c>
      <c r="J403" s="5" t="s">
        <v>19</v>
      </c>
      <c r="K403" s="5"/>
      <c r="L403" s="5" t="s">
        <v>112</v>
      </c>
    </row>
    <row r="404" customFormat="false" ht="13.35" hidden="false" customHeight="true" outlineLevel="0" collapsed="false">
      <c r="A404" s="5" t="str">
        <f aca="false">HYPERLINK("https://www.fabsurplus.com/sdi_catalog/salesItemDetails.do?id=102107")</f>
        <v>https://www.fabsurplus.com/sdi_catalog/salesItemDetails.do?id=102107</v>
      </c>
      <c r="B404" s="5" t="s">
        <v>1065</v>
      </c>
      <c r="C404" s="5" t="s">
        <v>620</v>
      </c>
      <c r="D404" s="5" t="s">
        <v>1061</v>
      </c>
      <c r="E404" s="5" t="s">
        <v>1066</v>
      </c>
      <c r="F404" s="5" t="s">
        <v>16</v>
      </c>
      <c r="G404" s="5" t="s">
        <v>36</v>
      </c>
      <c r="H404" s="5"/>
      <c r="I404" s="6" t="n">
        <v>35217</v>
      </c>
      <c r="J404" s="5" t="s">
        <v>19</v>
      </c>
      <c r="K404" s="5"/>
      <c r="L404" s="5"/>
    </row>
    <row r="405" customFormat="false" ht="13.35" hidden="false" customHeight="true" outlineLevel="0" collapsed="false">
      <c r="A405" s="2" t="str">
        <f aca="false">HYPERLINK("https://www.fabsurplus.com/sdi_catalog/salesItemDetails.do?id=101728")</f>
        <v>https://www.fabsurplus.com/sdi_catalog/salesItemDetails.do?id=101728</v>
      </c>
      <c r="B405" s="2" t="s">
        <v>1067</v>
      </c>
      <c r="C405" s="2" t="s">
        <v>620</v>
      </c>
      <c r="D405" s="2" t="s">
        <v>1061</v>
      </c>
      <c r="E405" s="2" t="s">
        <v>534</v>
      </c>
      <c r="F405" s="2" t="s">
        <v>16</v>
      </c>
      <c r="G405" s="2"/>
      <c r="H405" s="2"/>
      <c r="I405" s="3" t="n">
        <v>34851</v>
      </c>
      <c r="J405" s="2" t="s">
        <v>47</v>
      </c>
      <c r="K405" s="2"/>
      <c r="L405" s="2"/>
    </row>
    <row r="406" customFormat="false" ht="13.35" hidden="false" customHeight="true" outlineLevel="0" collapsed="false">
      <c r="A406" s="2" t="str">
        <f aca="false">HYPERLINK("https://www.fabsurplus.com/sdi_catalog/salesItemDetails.do?id=101729")</f>
        <v>https://www.fabsurplus.com/sdi_catalog/salesItemDetails.do?id=101729</v>
      </c>
      <c r="B406" s="2" t="s">
        <v>1068</v>
      </c>
      <c r="C406" s="2" t="s">
        <v>620</v>
      </c>
      <c r="D406" s="2" t="s">
        <v>1061</v>
      </c>
      <c r="E406" s="2" t="s">
        <v>534</v>
      </c>
      <c r="F406" s="2" t="s">
        <v>16</v>
      </c>
      <c r="G406" s="2"/>
      <c r="H406" s="2"/>
      <c r="I406" s="3" t="n">
        <v>33756</v>
      </c>
      <c r="J406" s="2" t="s">
        <v>47</v>
      </c>
      <c r="K406" s="2"/>
      <c r="L406" s="2"/>
    </row>
    <row r="407" customFormat="false" ht="13.35" hidden="false" customHeight="true" outlineLevel="0" collapsed="false">
      <c r="A407" s="2" t="str">
        <f aca="false">HYPERLINK("https://www.fabsurplus.com/sdi_catalog/salesItemDetails.do?id=101730")</f>
        <v>https://www.fabsurplus.com/sdi_catalog/salesItemDetails.do?id=101730</v>
      </c>
      <c r="B407" s="2" t="s">
        <v>1069</v>
      </c>
      <c r="C407" s="2" t="s">
        <v>620</v>
      </c>
      <c r="D407" s="2" t="s">
        <v>1061</v>
      </c>
      <c r="E407" s="2" t="s">
        <v>534</v>
      </c>
      <c r="F407" s="2" t="s">
        <v>16</v>
      </c>
      <c r="G407" s="2"/>
      <c r="H407" s="2"/>
      <c r="I407" s="3" t="n">
        <v>36312</v>
      </c>
      <c r="J407" s="2" t="s">
        <v>47</v>
      </c>
      <c r="K407" s="2"/>
      <c r="L407" s="2"/>
    </row>
    <row r="408" customFormat="false" ht="13.35" hidden="false" customHeight="true" outlineLevel="0" collapsed="false">
      <c r="A408" s="5" t="str">
        <f aca="false">HYPERLINK("https://www.fabsurplus.com/sdi_catalog/salesItemDetails.do?id=91174")</f>
        <v>https://www.fabsurplus.com/sdi_catalog/salesItemDetails.do?id=91174</v>
      </c>
      <c r="B408" s="5" t="s">
        <v>1070</v>
      </c>
      <c r="C408" s="5" t="s">
        <v>620</v>
      </c>
      <c r="D408" s="5" t="s">
        <v>1061</v>
      </c>
      <c r="E408" s="5" t="s">
        <v>534</v>
      </c>
      <c r="F408" s="5" t="s">
        <v>16</v>
      </c>
      <c r="G408" s="5" t="s">
        <v>36</v>
      </c>
      <c r="H408" s="5"/>
      <c r="I408" s="6" t="n">
        <v>34851</v>
      </c>
      <c r="J408" s="5" t="s">
        <v>19</v>
      </c>
      <c r="K408" s="5"/>
      <c r="L408" s="5" t="s">
        <v>112</v>
      </c>
    </row>
    <row r="409" customFormat="false" ht="13.35" hidden="false" customHeight="true" outlineLevel="0" collapsed="false">
      <c r="A409" s="2" t="str">
        <f aca="false">HYPERLINK("https://www.fabsurplus.com/sdi_catalog/salesItemDetails.do?id=102857")</f>
        <v>https://www.fabsurplus.com/sdi_catalog/salesItemDetails.do?id=102857</v>
      </c>
      <c r="B409" s="2" t="s">
        <v>1071</v>
      </c>
      <c r="C409" s="2" t="s">
        <v>620</v>
      </c>
      <c r="D409" s="2" t="s">
        <v>1061</v>
      </c>
      <c r="E409" s="2" t="s">
        <v>1072</v>
      </c>
      <c r="F409" s="2" t="s">
        <v>16</v>
      </c>
      <c r="G409" s="2" t="s">
        <v>36</v>
      </c>
      <c r="H409" s="2"/>
      <c r="I409" s="2"/>
      <c r="J409" s="2" t="s">
        <v>19</v>
      </c>
      <c r="K409" s="2"/>
      <c r="L409" s="2" t="s">
        <v>1073</v>
      </c>
    </row>
    <row r="410" customFormat="false" ht="13.35" hidden="false" customHeight="true" outlineLevel="0" collapsed="false">
      <c r="A410" s="2" t="str">
        <f aca="false">HYPERLINK("https://www.fabsurplus.com/sdi_catalog/salesItemDetails.do?id=102108")</f>
        <v>https://www.fabsurplus.com/sdi_catalog/salesItemDetails.do?id=102108</v>
      </c>
      <c r="B410" s="2" t="s">
        <v>1074</v>
      </c>
      <c r="C410" s="2" t="s">
        <v>620</v>
      </c>
      <c r="D410" s="2" t="s">
        <v>1061</v>
      </c>
      <c r="E410" s="2" t="s">
        <v>1075</v>
      </c>
      <c r="F410" s="2" t="s">
        <v>16</v>
      </c>
      <c r="G410" s="2" t="s">
        <v>493</v>
      </c>
      <c r="H410" s="2"/>
      <c r="I410" s="3" t="n">
        <v>32295</v>
      </c>
      <c r="J410" s="2" t="s">
        <v>19</v>
      </c>
      <c r="K410" s="2"/>
      <c r="L410" s="2"/>
    </row>
    <row r="411" customFormat="false" ht="13.35" hidden="false" customHeight="true" outlineLevel="0" collapsed="false">
      <c r="A411" s="5" t="str">
        <f aca="false">HYPERLINK("https://www.fabsurplus.com/sdi_catalog/salesItemDetails.do?id=93051")</f>
        <v>https://www.fabsurplus.com/sdi_catalog/salesItemDetails.do?id=93051</v>
      </c>
      <c r="B411" s="5" t="s">
        <v>1076</v>
      </c>
      <c r="C411" s="5" t="s">
        <v>620</v>
      </c>
      <c r="D411" s="5" t="s">
        <v>1061</v>
      </c>
      <c r="E411" s="5" t="s">
        <v>1077</v>
      </c>
      <c r="F411" s="5" t="s">
        <v>16</v>
      </c>
      <c r="G411" s="5" t="s">
        <v>493</v>
      </c>
      <c r="H411" s="5"/>
      <c r="I411" s="6" t="n">
        <v>34486</v>
      </c>
      <c r="J411" s="5" t="s">
        <v>19</v>
      </c>
      <c r="K411" s="5"/>
      <c r="L411" s="5" t="s">
        <v>681</v>
      </c>
    </row>
    <row r="412" customFormat="false" ht="13.35" hidden="false" customHeight="true" outlineLevel="0" collapsed="false">
      <c r="A412" s="2" t="str">
        <f aca="false">HYPERLINK("https://www.fabsurplus.com/sdi_catalog/salesItemDetails.do?id=91173")</f>
        <v>https://www.fabsurplus.com/sdi_catalog/salesItemDetails.do?id=91173</v>
      </c>
      <c r="B412" s="2" t="s">
        <v>1078</v>
      </c>
      <c r="C412" s="2" t="s">
        <v>620</v>
      </c>
      <c r="D412" s="2" t="s">
        <v>1061</v>
      </c>
      <c r="E412" s="2" t="s">
        <v>1079</v>
      </c>
      <c r="F412" s="2" t="s">
        <v>16</v>
      </c>
      <c r="G412" s="2" t="s">
        <v>36</v>
      </c>
      <c r="H412" s="2"/>
      <c r="I412" s="3" t="n">
        <v>34851</v>
      </c>
      <c r="J412" s="2" t="s">
        <v>19</v>
      </c>
      <c r="K412" s="2"/>
      <c r="L412" s="2" t="s">
        <v>112</v>
      </c>
    </row>
    <row r="413" customFormat="false" ht="13.35" hidden="false" customHeight="true" outlineLevel="0" collapsed="false">
      <c r="A413" s="5" t="str">
        <f aca="false">HYPERLINK("https://www.fabsurplus.com/sdi_catalog/salesItemDetails.do?id=93052")</f>
        <v>https://www.fabsurplus.com/sdi_catalog/salesItemDetails.do?id=93052</v>
      </c>
      <c r="B413" s="5" t="s">
        <v>1080</v>
      </c>
      <c r="C413" s="5" t="s">
        <v>620</v>
      </c>
      <c r="D413" s="5" t="s">
        <v>1061</v>
      </c>
      <c r="E413" s="5" t="s">
        <v>1079</v>
      </c>
      <c r="F413" s="5" t="s">
        <v>16</v>
      </c>
      <c r="G413" s="5" t="s">
        <v>493</v>
      </c>
      <c r="H413" s="5"/>
      <c r="I413" s="6" t="n">
        <v>33390</v>
      </c>
      <c r="J413" s="5" t="s">
        <v>19</v>
      </c>
      <c r="K413" s="5"/>
      <c r="L413" s="5" t="s">
        <v>745</v>
      </c>
    </row>
    <row r="414" customFormat="false" ht="13.35" hidden="false" customHeight="true" outlineLevel="0" collapsed="false">
      <c r="A414" s="2" t="str">
        <f aca="false">HYPERLINK("https://www.fabsurplus.com/sdi_catalog/salesItemDetails.do?id=91171")</f>
        <v>https://www.fabsurplus.com/sdi_catalog/salesItemDetails.do?id=91171</v>
      </c>
      <c r="B414" s="2" t="s">
        <v>1081</v>
      </c>
      <c r="C414" s="2" t="s">
        <v>620</v>
      </c>
      <c r="D414" s="2" t="s">
        <v>1061</v>
      </c>
      <c r="E414" s="2" t="s">
        <v>1082</v>
      </c>
      <c r="F414" s="2" t="s">
        <v>16</v>
      </c>
      <c r="G414" s="2" t="s">
        <v>493</v>
      </c>
      <c r="H414" s="2"/>
      <c r="I414" s="3" t="n">
        <v>36312</v>
      </c>
      <c r="J414" s="2" t="s">
        <v>19</v>
      </c>
      <c r="K414" s="2"/>
      <c r="L414" s="2" t="s">
        <v>112</v>
      </c>
    </row>
    <row r="415" customFormat="false" ht="13.35" hidden="false" customHeight="true" outlineLevel="0" collapsed="false">
      <c r="A415" s="2" t="str">
        <f aca="false">HYPERLINK("https://www.fabsurplus.com/sdi_catalog/salesItemDetails.do?id=91175")</f>
        <v>https://www.fabsurplus.com/sdi_catalog/salesItemDetails.do?id=91175</v>
      </c>
      <c r="B415" s="2" t="s">
        <v>1083</v>
      </c>
      <c r="C415" s="2" t="s">
        <v>620</v>
      </c>
      <c r="D415" s="2" t="s">
        <v>1061</v>
      </c>
      <c r="E415" s="2" t="s">
        <v>1082</v>
      </c>
      <c r="F415" s="2" t="s">
        <v>16</v>
      </c>
      <c r="G415" s="2" t="s">
        <v>493</v>
      </c>
      <c r="H415" s="2"/>
      <c r="I415" s="3" t="n">
        <v>34851</v>
      </c>
      <c r="J415" s="2" t="s">
        <v>19</v>
      </c>
      <c r="K415" s="2"/>
      <c r="L415" s="2" t="s">
        <v>112</v>
      </c>
    </row>
    <row r="416" customFormat="false" ht="13.35" hidden="false" customHeight="true" outlineLevel="0" collapsed="false">
      <c r="A416" s="2" t="str">
        <f aca="false">HYPERLINK("https://www.fabsurplus.com/sdi_catalog/salesItemDetails.do?id=91172")</f>
        <v>https://www.fabsurplus.com/sdi_catalog/salesItemDetails.do?id=91172</v>
      </c>
      <c r="B416" s="2" t="s">
        <v>1084</v>
      </c>
      <c r="C416" s="2" t="s">
        <v>620</v>
      </c>
      <c r="D416" s="2" t="s">
        <v>1061</v>
      </c>
      <c r="E416" s="2" t="s">
        <v>1085</v>
      </c>
      <c r="F416" s="2" t="s">
        <v>16</v>
      </c>
      <c r="G416" s="2" t="s">
        <v>36</v>
      </c>
      <c r="H416" s="2"/>
      <c r="I416" s="3" t="n">
        <v>34851</v>
      </c>
      <c r="J416" s="2" t="s">
        <v>19</v>
      </c>
      <c r="K416" s="2"/>
      <c r="L416" s="2" t="s">
        <v>112</v>
      </c>
    </row>
    <row r="417" customFormat="false" ht="13.35" hidden="false" customHeight="true" outlineLevel="0" collapsed="false">
      <c r="A417" s="2" t="str">
        <f aca="false">HYPERLINK("https://www.fabsurplus.com/sdi_catalog/salesItemDetails.do?id=91176")</f>
        <v>https://www.fabsurplus.com/sdi_catalog/salesItemDetails.do?id=91176</v>
      </c>
      <c r="B417" s="2" t="s">
        <v>1086</v>
      </c>
      <c r="C417" s="2" t="s">
        <v>620</v>
      </c>
      <c r="D417" s="2" t="s">
        <v>1061</v>
      </c>
      <c r="E417" s="2" t="s">
        <v>1087</v>
      </c>
      <c r="F417" s="2" t="s">
        <v>16</v>
      </c>
      <c r="G417" s="2" t="s">
        <v>36</v>
      </c>
      <c r="H417" s="2"/>
      <c r="I417" s="3" t="n">
        <v>35217</v>
      </c>
      <c r="J417" s="2" t="s">
        <v>19</v>
      </c>
      <c r="K417" s="2"/>
      <c r="L417" s="2" t="s">
        <v>112</v>
      </c>
    </row>
    <row r="418" customFormat="false" ht="13.35" hidden="false" customHeight="true" outlineLevel="0" collapsed="false">
      <c r="A418" s="5" t="str">
        <f aca="false">HYPERLINK("https://www.fabsurplus.com/sdi_catalog/salesItemDetails.do?id=102998")</f>
        <v>https://www.fabsurplus.com/sdi_catalog/salesItemDetails.do?id=102998</v>
      </c>
      <c r="B418" s="5" t="s">
        <v>1088</v>
      </c>
      <c r="C418" s="5" t="s">
        <v>620</v>
      </c>
      <c r="D418" s="5" t="s">
        <v>1089</v>
      </c>
      <c r="E418" s="5" t="s">
        <v>1090</v>
      </c>
      <c r="F418" s="5" t="s">
        <v>16</v>
      </c>
      <c r="G418" s="5" t="s">
        <v>1091</v>
      </c>
      <c r="H418" s="5"/>
      <c r="I418" s="5"/>
      <c r="J418" s="5" t="s">
        <v>19</v>
      </c>
      <c r="K418" s="5"/>
      <c r="L418" s="5"/>
    </row>
    <row r="419" customFormat="false" ht="13.35" hidden="false" customHeight="true" outlineLevel="0" collapsed="false">
      <c r="A419" s="2" t="str">
        <f aca="false">HYPERLINK("https://www.fabsurplus.com/sdi_catalog/salesItemDetails.do?id=102997")</f>
        <v>https://www.fabsurplus.com/sdi_catalog/salesItemDetails.do?id=102997</v>
      </c>
      <c r="B419" s="2" t="s">
        <v>1092</v>
      </c>
      <c r="C419" s="2" t="s">
        <v>620</v>
      </c>
      <c r="D419" s="2" t="s">
        <v>1089</v>
      </c>
      <c r="E419" s="2" t="s">
        <v>1093</v>
      </c>
      <c r="F419" s="2" t="s">
        <v>16</v>
      </c>
      <c r="G419" s="2" t="s">
        <v>1091</v>
      </c>
      <c r="H419" s="2"/>
      <c r="I419" s="2"/>
      <c r="J419" s="2" t="s">
        <v>19</v>
      </c>
      <c r="K419" s="2"/>
      <c r="L419" s="4" t="s">
        <v>1094</v>
      </c>
    </row>
    <row r="420" customFormat="false" ht="13.35" hidden="false" customHeight="true" outlineLevel="0" collapsed="false">
      <c r="A420" s="2" t="str">
        <f aca="false">HYPERLINK("https://www.fabsurplus.com/sdi_catalog/salesItemDetails.do?id=91182")</f>
        <v>https://www.fabsurplus.com/sdi_catalog/salesItemDetails.do?id=91182</v>
      </c>
      <c r="B420" s="2" t="s">
        <v>1095</v>
      </c>
      <c r="C420" s="2" t="s">
        <v>620</v>
      </c>
      <c r="D420" s="2" t="s">
        <v>1096</v>
      </c>
      <c r="E420" s="2" t="s">
        <v>1097</v>
      </c>
      <c r="F420" s="2" t="s">
        <v>16</v>
      </c>
      <c r="G420" s="2" t="s">
        <v>493</v>
      </c>
      <c r="H420" s="2"/>
      <c r="I420" s="3" t="n">
        <v>34121</v>
      </c>
      <c r="J420" s="2" t="s">
        <v>19</v>
      </c>
      <c r="K420" s="2"/>
      <c r="L420" s="2" t="s">
        <v>112</v>
      </c>
    </row>
    <row r="421" customFormat="false" ht="13.35" hidden="false" customHeight="true" outlineLevel="0" collapsed="false">
      <c r="A421" s="5" t="str">
        <f aca="false">HYPERLINK("https://www.fabsurplus.com/sdi_catalog/salesItemDetails.do?id=91184")</f>
        <v>https://www.fabsurplus.com/sdi_catalog/salesItemDetails.do?id=91184</v>
      </c>
      <c r="B421" s="5" t="s">
        <v>1098</v>
      </c>
      <c r="C421" s="5" t="s">
        <v>620</v>
      </c>
      <c r="D421" s="5" t="s">
        <v>1096</v>
      </c>
      <c r="E421" s="5" t="s">
        <v>1097</v>
      </c>
      <c r="F421" s="5" t="s">
        <v>16</v>
      </c>
      <c r="G421" s="5" t="s">
        <v>493</v>
      </c>
      <c r="H421" s="5"/>
      <c r="I421" s="6" t="n">
        <v>34851</v>
      </c>
      <c r="J421" s="5" t="s">
        <v>19</v>
      </c>
      <c r="K421" s="5"/>
      <c r="L421" s="5" t="s">
        <v>112</v>
      </c>
    </row>
    <row r="422" customFormat="false" ht="13.35" hidden="false" customHeight="true" outlineLevel="0" collapsed="false">
      <c r="A422" s="2" t="str">
        <f aca="false">HYPERLINK("https://www.fabsurplus.com/sdi_catalog/salesItemDetails.do?id=91181")</f>
        <v>https://www.fabsurplus.com/sdi_catalog/salesItemDetails.do?id=91181</v>
      </c>
      <c r="B422" s="2" t="s">
        <v>1099</v>
      </c>
      <c r="C422" s="2" t="s">
        <v>620</v>
      </c>
      <c r="D422" s="2" t="s">
        <v>1096</v>
      </c>
      <c r="E422" s="2" t="s">
        <v>1100</v>
      </c>
      <c r="F422" s="2" t="s">
        <v>16</v>
      </c>
      <c r="G422" s="2" t="s">
        <v>36</v>
      </c>
      <c r="H422" s="2"/>
      <c r="I422" s="3" t="n">
        <v>36678</v>
      </c>
      <c r="J422" s="2" t="s">
        <v>19</v>
      </c>
      <c r="K422" s="2"/>
      <c r="L422" s="2" t="s">
        <v>112</v>
      </c>
    </row>
    <row r="423" customFormat="false" ht="13.35" hidden="false" customHeight="true" outlineLevel="0" collapsed="false">
      <c r="A423" s="5" t="str">
        <f aca="false">HYPERLINK("https://www.fabsurplus.com/sdi_catalog/salesItemDetails.do?id=91187")</f>
        <v>https://www.fabsurplus.com/sdi_catalog/salesItemDetails.do?id=91187</v>
      </c>
      <c r="B423" s="5" t="s">
        <v>1101</v>
      </c>
      <c r="C423" s="5" t="s">
        <v>620</v>
      </c>
      <c r="D423" s="5" t="s">
        <v>1096</v>
      </c>
      <c r="E423" s="5" t="s">
        <v>1102</v>
      </c>
      <c r="F423" s="5" t="s">
        <v>16</v>
      </c>
      <c r="G423" s="5" t="s">
        <v>36</v>
      </c>
      <c r="H423" s="5"/>
      <c r="I423" s="6" t="n">
        <v>35947</v>
      </c>
      <c r="J423" s="5" t="s">
        <v>19</v>
      </c>
      <c r="K423" s="5"/>
      <c r="L423" s="5" t="s">
        <v>112</v>
      </c>
    </row>
    <row r="424" customFormat="false" ht="13.35" hidden="false" customHeight="true" outlineLevel="0" collapsed="false">
      <c r="A424" s="5" t="str">
        <f aca="false">HYPERLINK("https://www.fabsurplus.com/sdi_catalog/salesItemDetails.do?id=91188")</f>
        <v>https://www.fabsurplus.com/sdi_catalog/salesItemDetails.do?id=91188</v>
      </c>
      <c r="B424" s="5" t="s">
        <v>1103</v>
      </c>
      <c r="C424" s="5" t="s">
        <v>620</v>
      </c>
      <c r="D424" s="5" t="s">
        <v>1096</v>
      </c>
      <c r="E424" s="5" t="s">
        <v>1104</v>
      </c>
      <c r="F424" s="5" t="s">
        <v>16</v>
      </c>
      <c r="G424" s="5" t="s">
        <v>36</v>
      </c>
      <c r="H424" s="5"/>
      <c r="I424" s="5"/>
      <c r="J424" s="5" t="s">
        <v>19</v>
      </c>
      <c r="K424" s="5"/>
      <c r="L424" s="5" t="s">
        <v>112</v>
      </c>
    </row>
    <row r="425" customFormat="false" ht="13.35" hidden="false" customHeight="true" outlineLevel="0" collapsed="false">
      <c r="A425" s="2" t="str">
        <f aca="false">HYPERLINK("https://www.fabsurplus.com/sdi_catalog/salesItemDetails.do?id=91185")</f>
        <v>https://www.fabsurplus.com/sdi_catalog/salesItemDetails.do?id=91185</v>
      </c>
      <c r="B425" s="2" t="s">
        <v>1105</v>
      </c>
      <c r="C425" s="2" t="s">
        <v>620</v>
      </c>
      <c r="D425" s="2" t="s">
        <v>1096</v>
      </c>
      <c r="E425" s="2" t="s">
        <v>1106</v>
      </c>
      <c r="F425" s="2" t="s">
        <v>16</v>
      </c>
      <c r="G425" s="2" t="s">
        <v>493</v>
      </c>
      <c r="H425" s="2"/>
      <c r="I425" s="3" t="n">
        <v>34851</v>
      </c>
      <c r="J425" s="2" t="s">
        <v>19</v>
      </c>
      <c r="K425" s="2"/>
      <c r="L425" s="2" t="s">
        <v>112</v>
      </c>
    </row>
    <row r="426" customFormat="false" ht="13.35" hidden="false" customHeight="true" outlineLevel="0" collapsed="false">
      <c r="A426" s="5" t="str">
        <f aca="false">HYPERLINK("https://www.fabsurplus.com/sdi_catalog/salesItemDetails.do?id=91189")</f>
        <v>https://www.fabsurplus.com/sdi_catalog/salesItemDetails.do?id=91189</v>
      </c>
      <c r="B426" s="5" t="s">
        <v>1107</v>
      </c>
      <c r="C426" s="5" t="s">
        <v>620</v>
      </c>
      <c r="D426" s="5" t="s">
        <v>1096</v>
      </c>
      <c r="E426" s="5" t="s">
        <v>1108</v>
      </c>
      <c r="F426" s="5" t="s">
        <v>16</v>
      </c>
      <c r="G426" s="5" t="s">
        <v>36</v>
      </c>
      <c r="H426" s="5"/>
      <c r="I426" s="5"/>
      <c r="J426" s="5" t="s">
        <v>19</v>
      </c>
      <c r="K426" s="5"/>
      <c r="L426" s="5" t="s">
        <v>112</v>
      </c>
    </row>
    <row r="427" customFormat="false" ht="13.35" hidden="false" customHeight="true" outlineLevel="0" collapsed="false">
      <c r="A427" s="2" t="str">
        <f aca="false">HYPERLINK("https://www.fabsurplus.com/sdi_catalog/salesItemDetails.do?id=91190")</f>
        <v>https://www.fabsurplus.com/sdi_catalog/salesItemDetails.do?id=91190</v>
      </c>
      <c r="B427" s="2" t="s">
        <v>1109</v>
      </c>
      <c r="C427" s="2" t="s">
        <v>620</v>
      </c>
      <c r="D427" s="2" t="s">
        <v>1096</v>
      </c>
      <c r="E427" s="2" t="s">
        <v>1108</v>
      </c>
      <c r="F427" s="2" t="s">
        <v>16</v>
      </c>
      <c r="G427" s="2" t="s">
        <v>36</v>
      </c>
      <c r="H427" s="2"/>
      <c r="I427" s="2"/>
      <c r="J427" s="2" t="s">
        <v>19</v>
      </c>
      <c r="K427" s="2"/>
      <c r="L427" s="2" t="s">
        <v>112</v>
      </c>
    </row>
    <row r="428" customFormat="false" ht="13.35" hidden="false" customHeight="true" outlineLevel="0" collapsed="false">
      <c r="A428" s="5" t="str">
        <f aca="false">HYPERLINK("https://www.fabsurplus.com/sdi_catalog/salesItemDetails.do?id=91183")</f>
        <v>https://www.fabsurplus.com/sdi_catalog/salesItemDetails.do?id=91183</v>
      </c>
      <c r="B428" s="5" t="s">
        <v>1110</v>
      </c>
      <c r="C428" s="5" t="s">
        <v>620</v>
      </c>
      <c r="D428" s="5" t="s">
        <v>1096</v>
      </c>
      <c r="E428" s="5" t="s">
        <v>1111</v>
      </c>
      <c r="F428" s="5" t="s">
        <v>16</v>
      </c>
      <c r="G428" s="5" t="s">
        <v>36</v>
      </c>
      <c r="H428" s="5"/>
      <c r="I428" s="5"/>
      <c r="J428" s="5" t="s">
        <v>19</v>
      </c>
      <c r="K428" s="5"/>
      <c r="L428" s="5" t="s">
        <v>112</v>
      </c>
    </row>
    <row r="429" customFormat="false" ht="13.35" hidden="false" customHeight="true" outlineLevel="0" collapsed="false">
      <c r="A429" s="5" t="str">
        <f aca="false">HYPERLINK("https://www.fabsurplus.com/sdi_catalog/salesItemDetails.do?id=91307")</f>
        <v>https://www.fabsurplus.com/sdi_catalog/salesItemDetails.do?id=91307</v>
      </c>
      <c r="B429" s="5" t="s">
        <v>1112</v>
      </c>
      <c r="C429" s="5" t="s">
        <v>620</v>
      </c>
      <c r="D429" s="5" t="s">
        <v>1113</v>
      </c>
      <c r="E429" s="5" t="s">
        <v>1114</v>
      </c>
      <c r="F429" s="5" t="s">
        <v>16</v>
      </c>
      <c r="G429" s="5" t="s">
        <v>493</v>
      </c>
      <c r="H429" s="5"/>
      <c r="I429" s="5"/>
      <c r="J429" s="5" t="s">
        <v>19</v>
      </c>
      <c r="K429" s="5"/>
      <c r="L429" s="5" t="s">
        <v>112</v>
      </c>
    </row>
    <row r="430" customFormat="false" ht="13.35" hidden="false" customHeight="true" outlineLevel="0" collapsed="false">
      <c r="A430" s="5" t="str">
        <f aca="false">HYPERLINK("https://www.fabsurplus.com/sdi_catalog/salesItemDetails.do?id=91289")</f>
        <v>https://www.fabsurplus.com/sdi_catalog/salesItemDetails.do?id=91289</v>
      </c>
      <c r="B430" s="5" t="s">
        <v>1115</v>
      </c>
      <c r="C430" s="5" t="s">
        <v>620</v>
      </c>
      <c r="D430" s="5" t="s">
        <v>1113</v>
      </c>
      <c r="E430" s="5" t="s">
        <v>1116</v>
      </c>
      <c r="F430" s="5" t="s">
        <v>16</v>
      </c>
      <c r="G430" s="5" t="s">
        <v>493</v>
      </c>
      <c r="H430" s="5"/>
      <c r="I430" s="5"/>
      <c r="J430" s="5" t="s">
        <v>19</v>
      </c>
      <c r="K430" s="5"/>
      <c r="L430" s="5" t="s">
        <v>112</v>
      </c>
    </row>
    <row r="431" customFormat="false" ht="13.35" hidden="false" customHeight="true" outlineLevel="0" collapsed="false">
      <c r="A431" s="2" t="str">
        <f aca="false">HYPERLINK("https://www.fabsurplus.com/sdi_catalog/salesItemDetails.do?id=91288")</f>
        <v>https://www.fabsurplus.com/sdi_catalog/salesItemDetails.do?id=91288</v>
      </c>
      <c r="B431" s="2" t="s">
        <v>1117</v>
      </c>
      <c r="C431" s="2" t="s">
        <v>620</v>
      </c>
      <c r="D431" s="2" t="s">
        <v>1113</v>
      </c>
      <c r="E431" s="2" t="s">
        <v>1118</v>
      </c>
      <c r="F431" s="2" t="s">
        <v>16</v>
      </c>
      <c r="G431" s="2" t="s">
        <v>36</v>
      </c>
      <c r="H431" s="2"/>
      <c r="I431" s="3" t="n">
        <v>34851</v>
      </c>
      <c r="J431" s="2" t="s">
        <v>19</v>
      </c>
      <c r="K431" s="2"/>
      <c r="L431" s="2" t="s">
        <v>112</v>
      </c>
    </row>
    <row r="432" customFormat="false" ht="13.35" hidden="false" customHeight="true" outlineLevel="0" collapsed="false">
      <c r="A432" s="5" t="str">
        <f aca="false">HYPERLINK("https://www.fabsurplus.com/sdi_catalog/salesItemDetails.do?id=93036")</f>
        <v>https://www.fabsurplus.com/sdi_catalog/salesItemDetails.do?id=93036</v>
      </c>
      <c r="B432" s="5" t="s">
        <v>1119</v>
      </c>
      <c r="C432" s="5" t="s">
        <v>620</v>
      </c>
      <c r="D432" s="5" t="s">
        <v>1113</v>
      </c>
      <c r="E432" s="5" t="s">
        <v>1120</v>
      </c>
      <c r="F432" s="5" t="s">
        <v>16</v>
      </c>
      <c r="G432" s="5" t="s">
        <v>36</v>
      </c>
      <c r="H432" s="5"/>
      <c r="I432" s="5"/>
      <c r="J432" s="5" t="s">
        <v>19</v>
      </c>
      <c r="K432" s="5"/>
      <c r="L432" s="5" t="s">
        <v>1121</v>
      </c>
    </row>
    <row r="433" customFormat="false" ht="13.35" hidden="false" customHeight="true" outlineLevel="0" collapsed="false">
      <c r="A433" s="2" t="str">
        <f aca="false">HYPERLINK("https://www.fabsurplus.com/sdi_catalog/salesItemDetails.do?id=91308")</f>
        <v>https://www.fabsurplus.com/sdi_catalog/salesItemDetails.do?id=91308</v>
      </c>
      <c r="B433" s="2" t="s">
        <v>1122</v>
      </c>
      <c r="C433" s="2" t="s">
        <v>620</v>
      </c>
      <c r="D433" s="2" t="s">
        <v>1123</v>
      </c>
      <c r="E433" s="2" t="s">
        <v>1124</v>
      </c>
      <c r="F433" s="2" t="s">
        <v>16</v>
      </c>
      <c r="G433" s="2" t="s">
        <v>493</v>
      </c>
      <c r="H433" s="2"/>
      <c r="I433" s="2"/>
      <c r="J433" s="2" t="s">
        <v>19</v>
      </c>
      <c r="K433" s="2"/>
      <c r="L433" s="2" t="s">
        <v>112</v>
      </c>
    </row>
    <row r="434" customFormat="false" ht="13.35" hidden="false" customHeight="true" outlineLevel="0" collapsed="false">
      <c r="A434" s="2" t="str">
        <f aca="false">HYPERLINK("https://www.fabsurplus.com/sdi_catalog/salesItemDetails.do?id=91194")</f>
        <v>https://www.fabsurplus.com/sdi_catalog/salesItemDetails.do?id=91194</v>
      </c>
      <c r="B434" s="2" t="s">
        <v>1125</v>
      </c>
      <c r="C434" s="2" t="s">
        <v>620</v>
      </c>
      <c r="D434" s="2" t="s">
        <v>1126</v>
      </c>
      <c r="E434" s="2" t="s">
        <v>1108</v>
      </c>
      <c r="F434" s="2" t="s">
        <v>16</v>
      </c>
      <c r="G434" s="2" t="s">
        <v>36</v>
      </c>
      <c r="H434" s="2"/>
      <c r="I434" s="2"/>
      <c r="J434" s="2" t="s">
        <v>19</v>
      </c>
      <c r="K434" s="2"/>
      <c r="L434" s="2" t="s">
        <v>112</v>
      </c>
    </row>
    <row r="435" customFormat="false" ht="13.35" hidden="false" customHeight="true" outlineLevel="0" collapsed="false">
      <c r="A435" s="5" t="str">
        <f aca="false">HYPERLINK("https://www.fabsurplus.com/sdi_catalog/salesItemDetails.do?id=91191")</f>
        <v>https://www.fabsurplus.com/sdi_catalog/salesItemDetails.do?id=91191</v>
      </c>
      <c r="B435" s="5" t="s">
        <v>1127</v>
      </c>
      <c r="C435" s="5" t="s">
        <v>620</v>
      </c>
      <c r="D435" s="5" t="s">
        <v>1126</v>
      </c>
      <c r="E435" s="5" t="s">
        <v>1128</v>
      </c>
      <c r="F435" s="5" t="s">
        <v>16</v>
      </c>
      <c r="G435" s="5" t="s">
        <v>36</v>
      </c>
      <c r="H435" s="5"/>
      <c r="I435" s="5"/>
      <c r="J435" s="5" t="s">
        <v>19</v>
      </c>
      <c r="K435" s="5"/>
      <c r="L435" s="5" t="s">
        <v>112</v>
      </c>
    </row>
    <row r="436" customFormat="false" ht="13.35" hidden="false" customHeight="true" outlineLevel="0" collapsed="false">
      <c r="A436" s="5" t="str">
        <f aca="false">HYPERLINK("https://www.fabsurplus.com/sdi_catalog/salesItemDetails.do?id=91192")</f>
        <v>https://www.fabsurplus.com/sdi_catalog/salesItemDetails.do?id=91192</v>
      </c>
      <c r="B436" s="5" t="s">
        <v>1129</v>
      </c>
      <c r="C436" s="5" t="s">
        <v>620</v>
      </c>
      <c r="D436" s="5" t="s">
        <v>1126</v>
      </c>
      <c r="E436" s="5" t="s">
        <v>1075</v>
      </c>
      <c r="F436" s="5" t="s">
        <v>16</v>
      </c>
      <c r="G436" s="5" t="s">
        <v>36</v>
      </c>
      <c r="H436" s="5"/>
      <c r="I436" s="5"/>
      <c r="J436" s="5" t="s">
        <v>19</v>
      </c>
      <c r="K436" s="5"/>
      <c r="L436" s="5" t="s">
        <v>112</v>
      </c>
    </row>
    <row r="437" customFormat="false" ht="13.35" hidden="false" customHeight="true" outlineLevel="0" collapsed="false">
      <c r="A437" s="5" t="str">
        <f aca="false">HYPERLINK("https://www.fabsurplus.com/sdi_catalog/salesItemDetails.do?id=91193")</f>
        <v>https://www.fabsurplus.com/sdi_catalog/salesItemDetails.do?id=91193</v>
      </c>
      <c r="B437" s="5" t="s">
        <v>1130</v>
      </c>
      <c r="C437" s="5" t="s">
        <v>620</v>
      </c>
      <c r="D437" s="5" t="s">
        <v>1126</v>
      </c>
      <c r="E437" s="5" t="s">
        <v>1075</v>
      </c>
      <c r="F437" s="5" t="s">
        <v>16</v>
      </c>
      <c r="G437" s="5" t="s">
        <v>493</v>
      </c>
      <c r="H437" s="5"/>
      <c r="I437" s="5"/>
      <c r="J437" s="5" t="s">
        <v>19</v>
      </c>
      <c r="K437" s="5"/>
      <c r="L437" s="5" t="s">
        <v>112</v>
      </c>
    </row>
    <row r="438" customFormat="false" ht="13.35" hidden="false" customHeight="true" outlineLevel="0" collapsed="false">
      <c r="A438" s="5" t="str">
        <f aca="false">HYPERLINK("https://www.fabsurplus.com/sdi_catalog/salesItemDetails.do?id=91195")</f>
        <v>https://www.fabsurplus.com/sdi_catalog/salesItemDetails.do?id=91195</v>
      </c>
      <c r="B438" s="5" t="s">
        <v>1131</v>
      </c>
      <c r="C438" s="5" t="s">
        <v>620</v>
      </c>
      <c r="D438" s="5" t="s">
        <v>1126</v>
      </c>
      <c r="E438" s="5" t="s">
        <v>1075</v>
      </c>
      <c r="F438" s="5" t="s">
        <v>16</v>
      </c>
      <c r="G438" s="5" t="s">
        <v>36</v>
      </c>
      <c r="H438" s="5"/>
      <c r="I438" s="5"/>
      <c r="J438" s="5" t="s">
        <v>19</v>
      </c>
      <c r="K438" s="5"/>
      <c r="L438" s="5" t="s">
        <v>112</v>
      </c>
    </row>
    <row r="439" customFormat="false" ht="13.35" hidden="false" customHeight="true" outlineLevel="0" collapsed="false">
      <c r="A439" s="5" t="str">
        <f aca="false">HYPERLINK("https://www.fabsurplus.com/sdi_catalog/salesItemDetails.do?id=91198")</f>
        <v>https://www.fabsurplus.com/sdi_catalog/salesItemDetails.do?id=91198</v>
      </c>
      <c r="B439" s="5" t="s">
        <v>1132</v>
      </c>
      <c r="C439" s="5" t="s">
        <v>620</v>
      </c>
      <c r="D439" s="5" t="s">
        <v>1133</v>
      </c>
      <c r="E439" s="5" t="s">
        <v>1134</v>
      </c>
      <c r="F439" s="5" t="s">
        <v>16</v>
      </c>
      <c r="G439" s="5" t="s">
        <v>36</v>
      </c>
      <c r="H439" s="5"/>
      <c r="I439" s="6" t="n">
        <v>35582</v>
      </c>
      <c r="J439" s="5" t="s">
        <v>19</v>
      </c>
      <c r="K439" s="5"/>
      <c r="L439" s="5" t="s">
        <v>112</v>
      </c>
    </row>
    <row r="440" customFormat="false" ht="13.35" hidden="false" customHeight="true" outlineLevel="0" collapsed="false">
      <c r="A440" s="5" t="str">
        <f aca="false">HYPERLINK("https://www.fabsurplus.com/sdi_catalog/salesItemDetails.do?id=91197")</f>
        <v>https://www.fabsurplus.com/sdi_catalog/salesItemDetails.do?id=91197</v>
      </c>
      <c r="B440" s="5" t="s">
        <v>1135</v>
      </c>
      <c r="C440" s="5" t="s">
        <v>620</v>
      </c>
      <c r="D440" s="5" t="s">
        <v>1133</v>
      </c>
      <c r="E440" s="5" t="s">
        <v>1136</v>
      </c>
      <c r="F440" s="5" t="s">
        <v>16</v>
      </c>
      <c r="G440" s="5" t="s">
        <v>36</v>
      </c>
      <c r="H440" s="5"/>
      <c r="I440" s="6" t="n">
        <v>35217</v>
      </c>
      <c r="J440" s="5" t="s">
        <v>19</v>
      </c>
      <c r="K440" s="5"/>
      <c r="L440" s="5" t="s">
        <v>112</v>
      </c>
    </row>
    <row r="441" customFormat="false" ht="13.35" hidden="false" customHeight="true" outlineLevel="0" collapsed="false">
      <c r="A441" s="5" t="str">
        <f aca="false">HYPERLINK("https://www.fabsurplus.com/sdi_catalog/salesItemDetails.do?id=91196")</f>
        <v>https://www.fabsurplus.com/sdi_catalog/salesItemDetails.do?id=91196</v>
      </c>
      <c r="B441" s="5" t="s">
        <v>1137</v>
      </c>
      <c r="C441" s="5" t="s">
        <v>620</v>
      </c>
      <c r="D441" s="5" t="s">
        <v>1133</v>
      </c>
      <c r="E441" s="5" t="s">
        <v>1138</v>
      </c>
      <c r="F441" s="5" t="s">
        <v>16</v>
      </c>
      <c r="G441" s="5" t="s">
        <v>36</v>
      </c>
      <c r="H441" s="5"/>
      <c r="I441" s="5"/>
      <c r="J441" s="5" t="s">
        <v>19</v>
      </c>
      <c r="K441" s="5"/>
      <c r="L441" s="5" t="s">
        <v>112</v>
      </c>
    </row>
    <row r="442" customFormat="false" ht="13.35" hidden="false" customHeight="true" outlineLevel="0" collapsed="false">
      <c r="A442" s="5" t="str">
        <f aca="false">HYPERLINK("https://www.fabsurplus.com/sdi_catalog/salesItemDetails.do?id=91199")</f>
        <v>https://www.fabsurplus.com/sdi_catalog/salesItemDetails.do?id=91199</v>
      </c>
      <c r="B442" s="5" t="s">
        <v>1139</v>
      </c>
      <c r="C442" s="5" t="s">
        <v>620</v>
      </c>
      <c r="D442" s="5" t="s">
        <v>1133</v>
      </c>
      <c r="E442" s="5" t="s">
        <v>1140</v>
      </c>
      <c r="F442" s="5" t="s">
        <v>16</v>
      </c>
      <c r="G442" s="5" t="s">
        <v>36</v>
      </c>
      <c r="H442" s="5"/>
      <c r="I442" s="6" t="n">
        <v>35582</v>
      </c>
      <c r="J442" s="5" t="s">
        <v>19</v>
      </c>
      <c r="K442" s="5"/>
      <c r="L442" s="5" t="s">
        <v>112</v>
      </c>
    </row>
    <row r="443" customFormat="false" ht="13.35" hidden="false" customHeight="true" outlineLevel="0" collapsed="false">
      <c r="A443" s="2" t="str">
        <f aca="false">HYPERLINK("https://www.fabsurplus.com/sdi_catalog/salesItemDetails.do?id=91200")</f>
        <v>https://www.fabsurplus.com/sdi_catalog/salesItemDetails.do?id=91200</v>
      </c>
      <c r="B443" s="2" t="s">
        <v>1141</v>
      </c>
      <c r="C443" s="2" t="s">
        <v>620</v>
      </c>
      <c r="D443" s="2" t="s">
        <v>1133</v>
      </c>
      <c r="E443" s="2" t="s">
        <v>1142</v>
      </c>
      <c r="F443" s="2" t="s">
        <v>16</v>
      </c>
      <c r="G443" s="2" t="s">
        <v>36</v>
      </c>
      <c r="H443" s="2"/>
      <c r="I443" s="3" t="n">
        <v>35582</v>
      </c>
      <c r="J443" s="2" t="s">
        <v>19</v>
      </c>
      <c r="K443" s="2"/>
      <c r="L443" s="2" t="s">
        <v>112</v>
      </c>
    </row>
    <row r="444" customFormat="false" ht="13.35" hidden="false" customHeight="true" outlineLevel="0" collapsed="false">
      <c r="A444" s="2" t="str">
        <f aca="false">HYPERLINK("https://www.fabsurplus.com/sdi_catalog/salesItemDetails.do?id=91201")</f>
        <v>https://www.fabsurplus.com/sdi_catalog/salesItemDetails.do?id=91201</v>
      </c>
      <c r="B444" s="2" t="s">
        <v>1143</v>
      </c>
      <c r="C444" s="2" t="s">
        <v>620</v>
      </c>
      <c r="D444" s="2" t="s">
        <v>1133</v>
      </c>
      <c r="E444" s="2" t="s">
        <v>1142</v>
      </c>
      <c r="F444" s="2" t="s">
        <v>16</v>
      </c>
      <c r="G444" s="2" t="s">
        <v>36</v>
      </c>
      <c r="H444" s="2"/>
      <c r="I444" s="3" t="n">
        <v>36678</v>
      </c>
      <c r="J444" s="2" t="s">
        <v>19</v>
      </c>
      <c r="K444" s="2"/>
      <c r="L444" s="2" t="s">
        <v>112</v>
      </c>
    </row>
    <row r="445" customFormat="false" ht="13.35" hidden="false" customHeight="true" outlineLevel="0" collapsed="false">
      <c r="A445" s="2" t="str">
        <f aca="false">HYPERLINK("https://www.fabsurplus.com/sdi_catalog/salesItemDetails.do?id=91311")</f>
        <v>https://www.fabsurplus.com/sdi_catalog/salesItemDetails.do?id=91311</v>
      </c>
      <c r="B445" s="2" t="s">
        <v>1144</v>
      </c>
      <c r="C445" s="2" t="s">
        <v>620</v>
      </c>
      <c r="D445" s="2" t="s">
        <v>1145</v>
      </c>
      <c r="E445" s="2" t="s">
        <v>1124</v>
      </c>
      <c r="F445" s="2" t="s">
        <v>16</v>
      </c>
      <c r="G445" s="2" t="s">
        <v>36</v>
      </c>
      <c r="H445" s="2"/>
      <c r="I445" s="2"/>
      <c r="J445" s="2" t="s">
        <v>19</v>
      </c>
      <c r="K445" s="2"/>
      <c r="L445" s="2" t="s">
        <v>112</v>
      </c>
    </row>
    <row r="446" customFormat="false" ht="13.35" hidden="false" customHeight="true" outlineLevel="0" collapsed="false">
      <c r="A446" s="2" t="str">
        <f aca="false">HYPERLINK("https://www.fabsurplus.com/sdi_catalog/salesItemDetails.do?id=98026")</f>
        <v>https://www.fabsurplus.com/sdi_catalog/salesItemDetails.do?id=98026</v>
      </c>
      <c r="B446" s="2" t="s">
        <v>1146</v>
      </c>
      <c r="C446" s="2" t="s">
        <v>620</v>
      </c>
      <c r="D446" s="2" t="s">
        <v>1147</v>
      </c>
      <c r="E446" s="2" t="s">
        <v>829</v>
      </c>
      <c r="F446" s="2" t="s">
        <v>16</v>
      </c>
      <c r="G446" s="2" t="s">
        <v>36</v>
      </c>
      <c r="H446" s="2"/>
      <c r="I446" s="3" t="n">
        <v>34851</v>
      </c>
      <c r="J446" s="2" t="s">
        <v>19</v>
      </c>
      <c r="K446" s="2"/>
      <c r="L446" s="2"/>
    </row>
    <row r="447" customFormat="false" ht="13.35" hidden="false" customHeight="true" outlineLevel="0" collapsed="false">
      <c r="A447" s="2" t="str">
        <f aca="false">HYPERLINK("https://www.fabsurplus.com/sdi_catalog/salesItemDetails.do?id=87897")</f>
        <v>https://www.fabsurplus.com/sdi_catalog/salesItemDetails.do?id=87897</v>
      </c>
      <c r="B447" s="2" t="s">
        <v>1148</v>
      </c>
      <c r="C447" s="2" t="s">
        <v>620</v>
      </c>
      <c r="D447" s="2" t="s">
        <v>1149</v>
      </c>
      <c r="E447" s="2" t="s">
        <v>829</v>
      </c>
      <c r="F447" s="2" t="s">
        <v>16</v>
      </c>
      <c r="G447" s="2" t="s">
        <v>36</v>
      </c>
      <c r="H447" s="2"/>
      <c r="I447" s="3" t="n">
        <v>35217</v>
      </c>
      <c r="J447" s="2" t="s">
        <v>19</v>
      </c>
      <c r="K447" s="2"/>
      <c r="L447" s="2" t="s">
        <v>830</v>
      </c>
    </row>
    <row r="448" customFormat="false" ht="13.35" hidden="false" customHeight="true" outlineLevel="0" collapsed="false">
      <c r="A448" s="5" t="str">
        <f aca="false">HYPERLINK("https://www.fabsurplus.com/sdi_catalog/salesItemDetails.do?id=91203")</f>
        <v>https://www.fabsurplus.com/sdi_catalog/salesItemDetails.do?id=91203</v>
      </c>
      <c r="B448" s="5" t="s">
        <v>1150</v>
      </c>
      <c r="C448" s="5" t="s">
        <v>620</v>
      </c>
      <c r="D448" s="5" t="s">
        <v>1149</v>
      </c>
      <c r="E448" s="5" t="s">
        <v>1151</v>
      </c>
      <c r="F448" s="5" t="s">
        <v>16</v>
      </c>
      <c r="G448" s="5"/>
      <c r="H448" s="5"/>
      <c r="I448" s="5"/>
      <c r="J448" s="5" t="s">
        <v>19</v>
      </c>
      <c r="K448" s="5"/>
      <c r="L448" s="5" t="s">
        <v>112</v>
      </c>
    </row>
    <row r="449" customFormat="false" ht="13.35" hidden="false" customHeight="true" outlineLevel="0" collapsed="false">
      <c r="A449" s="2" t="str">
        <f aca="false">HYPERLINK("https://www.fabsurplus.com/sdi_catalog/salesItemDetails.do?id=91202")</f>
        <v>https://www.fabsurplus.com/sdi_catalog/salesItemDetails.do?id=91202</v>
      </c>
      <c r="B449" s="2" t="s">
        <v>1152</v>
      </c>
      <c r="C449" s="2" t="s">
        <v>620</v>
      </c>
      <c r="D449" s="2" t="s">
        <v>1149</v>
      </c>
      <c r="E449" s="2" t="s">
        <v>1153</v>
      </c>
      <c r="F449" s="2" t="s">
        <v>16</v>
      </c>
      <c r="G449" s="2" t="s">
        <v>36</v>
      </c>
      <c r="H449" s="2" t="s">
        <v>26</v>
      </c>
      <c r="I449" s="3" t="n">
        <v>36678</v>
      </c>
      <c r="J449" s="2" t="s">
        <v>19</v>
      </c>
      <c r="K449" s="2" t="s">
        <v>20</v>
      </c>
      <c r="L449" s="4" t="s">
        <v>1154</v>
      </c>
    </row>
    <row r="450" customFormat="false" ht="13.35" hidden="false" customHeight="true" outlineLevel="0" collapsed="false">
      <c r="A450" s="5" t="str">
        <f aca="false">HYPERLINK("https://www.fabsurplus.com/sdi_catalog/salesItemDetails.do?id=91204")</f>
        <v>https://www.fabsurplus.com/sdi_catalog/salesItemDetails.do?id=91204</v>
      </c>
      <c r="B450" s="5" t="s">
        <v>1155</v>
      </c>
      <c r="C450" s="5" t="s">
        <v>620</v>
      </c>
      <c r="D450" s="5" t="s">
        <v>1156</v>
      </c>
      <c r="E450" s="5" t="s">
        <v>1157</v>
      </c>
      <c r="F450" s="5" t="s">
        <v>16</v>
      </c>
      <c r="G450" s="5" t="s">
        <v>36</v>
      </c>
      <c r="H450" s="5"/>
      <c r="I450" s="5"/>
      <c r="J450" s="5" t="s">
        <v>19</v>
      </c>
      <c r="K450" s="5"/>
      <c r="L450" s="5" t="s">
        <v>112</v>
      </c>
    </row>
    <row r="451" customFormat="false" ht="13.35" hidden="false" customHeight="true" outlineLevel="0" collapsed="false">
      <c r="A451" s="2" t="str">
        <f aca="false">HYPERLINK("https://www.fabsurplus.com/sdi_catalog/salesItemDetails.do?id=91205")</f>
        <v>https://www.fabsurplus.com/sdi_catalog/salesItemDetails.do?id=91205</v>
      </c>
      <c r="B451" s="2" t="s">
        <v>1158</v>
      </c>
      <c r="C451" s="2" t="s">
        <v>620</v>
      </c>
      <c r="D451" s="2" t="s">
        <v>1156</v>
      </c>
      <c r="E451" s="2" t="s">
        <v>1157</v>
      </c>
      <c r="F451" s="2" t="s">
        <v>16</v>
      </c>
      <c r="G451" s="2" t="s">
        <v>36</v>
      </c>
      <c r="H451" s="2"/>
      <c r="I451" s="2"/>
      <c r="J451" s="2" t="s">
        <v>19</v>
      </c>
      <c r="K451" s="2"/>
      <c r="L451" s="2" t="s">
        <v>112</v>
      </c>
    </row>
    <row r="452" customFormat="false" ht="13.35" hidden="false" customHeight="true" outlineLevel="0" collapsed="false">
      <c r="A452" s="2" t="str">
        <f aca="false">HYPERLINK("https://www.fabsurplus.com/sdi_catalog/salesItemDetails.do?id=91206")</f>
        <v>https://www.fabsurplus.com/sdi_catalog/salesItemDetails.do?id=91206</v>
      </c>
      <c r="B452" s="2" t="s">
        <v>1159</v>
      </c>
      <c r="C452" s="2" t="s">
        <v>620</v>
      </c>
      <c r="D452" s="2" t="s">
        <v>1156</v>
      </c>
      <c r="E452" s="2" t="s">
        <v>1079</v>
      </c>
      <c r="F452" s="2" t="s">
        <v>16</v>
      </c>
      <c r="G452" s="2" t="s">
        <v>493</v>
      </c>
      <c r="H452" s="2"/>
      <c r="I452" s="2"/>
      <c r="J452" s="2" t="s">
        <v>19</v>
      </c>
      <c r="K452" s="2"/>
      <c r="L452" s="2" t="s">
        <v>112</v>
      </c>
    </row>
    <row r="453" customFormat="false" ht="13.35" hidden="false" customHeight="true" outlineLevel="0" collapsed="false">
      <c r="A453" s="5" t="str">
        <f aca="false">HYPERLINK("https://www.fabsurplus.com/sdi_catalog/salesItemDetails.do?id=91207")</f>
        <v>https://www.fabsurplus.com/sdi_catalog/salesItemDetails.do?id=91207</v>
      </c>
      <c r="B453" s="5" t="s">
        <v>1160</v>
      </c>
      <c r="C453" s="5" t="s">
        <v>620</v>
      </c>
      <c r="D453" s="5" t="s">
        <v>1156</v>
      </c>
      <c r="E453" s="5" t="s">
        <v>1161</v>
      </c>
      <c r="F453" s="5" t="s">
        <v>16</v>
      </c>
      <c r="G453" s="5" t="s">
        <v>36</v>
      </c>
      <c r="H453" s="5"/>
      <c r="I453" s="5"/>
      <c r="J453" s="5" t="s">
        <v>19</v>
      </c>
      <c r="K453" s="5"/>
      <c r="L453" s="5" t="s">
        <v>112</v>
      </c>
    </row>
    <row r="454" customFormat="false" ht="13.35" hidden="false" customHeight="true" outlineLevel="0" collapsed="false">
      <c r="A454" s="5" t="str">
        <f aca="false">HYPERLINK("https://www.fabsurplus.com/sdi_catalog/salesItemDetails.do?id=91313")</f>
        <v>https://www.fabsurplus.com/sdi_catalog/salesItemDetails.do?id=91313</v>
      </c>
      <c r="B454" s="5" t="s">
        <v>1162</v>
      </c>
      <c r="C454" s="5" t="s">
        <v>620</v>
      </c>
      <c r="D454" s="5" t="s">
        <v>1163</v>
      </c>
      <c r="E454" s="5" t="s">
        <v>1164</v>
      </c>
      <c r="F454" s="5" t="s">
        <v>16</v>
      </c>
      <c r="G454" s="5"/>
      <c r="H454" s="5"/>
      <c r="I454" s="5"/>
      <c r="J454" s="5" t="s">
        <v>19</v>
      </c>
      <c r="K454" s="5"/>
      <c r="L454" s="5" t="s">
        <v>112</v>
      </c>
    </row>
    <row r="455" customFormat="false" ht="13.35" hidden="false" customHeight="true" outlineLevel="0" collapsed="false">
      <c r="A455" s="5" t="str">
        <f aca="false">HYPERLINK("https://www.fabsurplus.com/sdi_catalog/salesItemDetails.do?id=103064")</f>
        <v>https://www.fabsurplus.com/sdi_catalog/salesItemDetails.do?id=103064</v>
      </c>
      <c r="B455" s="5" t="s">
        <v>1165</v>
      </c>
      <c r="C455" s="5" t="s">
        <v>620</v>
      </c>
      <c r="D455" s="5" t="s">
        <v>1166</v>
      </c>
      <c r="E455" s="5" t="s">
        <v>1167</v>
      </c>
      <c r="F455" s="5" t="s">
        <v>16</v>
      </c>
      <c r="G455" s="5" t="s">
        <v>658</v>
      </c>
      <c r="H455" s="5"/>
      <c r="I455" s="5"/>
      <c r="J455" s="5" t="s">
        <v>19</v>
      </c>
      <c r="K455" s="5"/>
      <c r="L455" s="5" t="s">
        <v>1168</v>
      </c>
    </row>
    <row r="456" customFormat="false" ht="13.35" hidden="false" customHeight="true" outlineLevel="0" collapsed="false">
      <c r="A456" s="2" t="str">
        <f aca="false">HYPERLINK("https://www.fabsurplus.com/sdi_catalog/salesItemDetails.do?id=103063")</f>
        <v>https://www.fabsurplus.com/sdi_catalog/salesItemDetails.do?id=103063</v>
      </c>
      <c r="B456" s="2" t="s">
        <v>1169</v>
      </c>
      <c r="C456" s="2" t="s">
        <v>620</v>
      </c>
      <c r="D456" s="2" t="s">
        <v>1166</v>
      </c>
      <c r="E456" s="2" t="s">
        <v>1170</v>
      </c>
      <c r="F456" s="2" t="s">
        <v>16</v>
      </c>
      <c r="G456" s="2" t="s">
        <v>658</v>
      </c>
      <c r="H456" s="2"/>
      <c r="I456" s="2"/>
      <c r="J456" s="2" t="s">
        <v>19</v>
      </c>
      <c r="K456" s="2"/>
      <c r="L456" s="4" t="s">
        <v>1171</v>
      </c>
    </row>
    <row r="457" customFormat="false" ht="13.35" hidden="false" customHeight="true" outlineLevel="0" collapsed="false">
      <c r="A457" s="5" t="str">
        <f aca="false">HYPERLINK("https://www.fabsurplus.com/sdi_catalog/salesItemDetails.do?id=100346")</f>
        <v>https://www.fabsurplus.com/sdi_catalog/salesItemDetails.do?id=100346</v>
      </c>
      <c r="B457" s="5" t="s">
        <v>1172</v>
      </c>
      <c r="C457" s="5" t="s">
        <v>620</v>
      </c>
      <c r="D457" s="5" t="s">
        <v>1173</v>
      </c>
      <c r="E457" s="5" t="s">
        <v>1174</v>
      </c>
      <c r="F457" s="5" t="s">
        <v>16</v>
      </c>
      <c r="G457" s="5" t="s">
        <v>17</v>
      </c>
      <c r="H457" s="5" t="s">
        <v>26</v>
      </c>
      <c r="I457" s="6" t="n">
        <v>39600</v>
      </c>
      <c r="J457" s="5" t="s">
        <v>19</v>
      </c>
      <c r="K457" s="5" t="s">
        <v>20</v>
      </c>
      <c r="L457" s="7" t="s">
        <v>1175</v>
      </c>
    </row>
    <row r="458" customFormat="false" ht="13.35" hidden="false" customHeight="true" outlineLevel="0" collapsed="false">
      <c r="A458" s="2" t="str">
        <f aca="false">HYPERLINK("https://www.fabsurplus.com/sdi_catalog/salesItemDetails.do?id=100915")</f>
        <v>https://www.fabsurplus.com/sdi_catalog/salesItemDetails.do?id=100915</v>
      </c>
      <c r="B458" s="2" t="s">
        <v>1176</v>
      </c>
      <c r="C458" s="2" t="s">
        <v>620</v>
      </c>
      <c r="D458" s="2" t="s">
        <v>1177</v>
      </c>
      <c r="E458" s="2" t="s">
        <v>1178</v>
      </c>
      <c r="F458" s="2" t="s">
        <v>16</v>
      </c>
      <c r="G458" s="2" t="s">
        <v>17</v>
      </c>
      <c r="H458" s="2"/>
      <c r="I458" s="3" t="n">
        <v>39965</v>
      </c>
      <c r="J458" s="2" t="s">
        <v>19</v>
      </c>
      <c r="K458" s="2"/>
      <c r="L458" s="2" t="s">
        <v>618</v>
      </c>
    </row>
    <row r="459" customFormat="false" ht="13.35" hidden="false" customHeight="true" outlineLevel="0" collapsed="false">
      <c r="A459" s="2" t="str">
        <f aca="false">HYPERLINK("https://www.fabsurplus.com/sdi_catalog/salesItemDetails.do?id=97220")</f>
        <v>https://www.fabsurplus.com/sdi_catalog/salesItemDetails.do?id=97220</v>
      </c>
      <c r="B459" s="2" t="s">
        <v>1179</v>
      </c>
      <c r="C459" s="2" t="s">
        <v>620</v>
      </c>
      <c r="D459" s="2" t="s">
        <v>1177</v>
      </c>
      <c r="E459" s="2" t="s">
        <v>1178</v>
      </c>
      <c r="F459" s="2" t="s">
        <v>16</v>
      </c>
      <c r="G459" s="2" t="s">
        <v>17</v>
      </c>
      <c r="H459" s="2" t="s">
        <v>26</v>
      </c>
      <c r="I459" s="3" t="n">
        <v>38991</v>
      </c>
      <c r="J459" s="2" t="s">
        <v>19</v>
      </c>
      <c r="K459" s="2" t="s">
        <v>20</v>
      </c>
      <c r="L459" s="4" t="s">
        <v>654</v>
      </c>
    </row>
    <row r="460" customFormat="false" ht="13.35" hidden="false" customHeight="true" outlineLevel="0" collapsed="false">
      <c r="A460" s="5" t="str">
        <f aca="false">HYPERLINK("https://www.fabsurplus.com/sdi_catalog/salesItemDetails.do?id=93037")</f>
        <v>https://www.fabsurplus.com/sdi_catalog/salesItemDetails.do?id=93037</v>
      </c>
      <c r="B460" s="5" t="s">
        <v>1180</v>
      </c>
      <c r="C460" s="5" t="s">
        <v>620</v>
      </c>
      <c r="D460" s="5" t="s">
        <v>1177</v>
      </c>
      <c r="E460" s="5" t="s">
        <v>1181</v>
      </c>
      <c r="F460" s="5" t="s">
        <v>16</v>
      </c>
      <c r="G460" s="5" t="s">
        <v>17</v>
      </c>
      <c r="H460" s="5"/>
      <c r="I460" s="6" t="n">
        <v>39965</v>
      </c>
      <c r="J460" s="5" t="s">
        <v>19</v>
      </c>
      <c r="K460" s="5"/>
      <c r="L460" s="5" t="s">
        <v>112</v>
      </c>
    </row>
    <row r="461" customFormat="false" ht="13.35" hidden="false" customHeight="true" outlineLevel="0" collapsed="false">
      <c r="A461" s="5" t="str">
        <f aca="false">HYPERLINK("https://www.fabsurplus.com/sdi_catalog/salesItemDetails.do?id=102111")</f>
        <v>https://www.fabsurplus.com/sdi_catalog/salesItemDetails.do?id=102111</v>
      </c>
      <c r="B461" s="5" t="s">
        <v>1182</v>
      </c>
      <c r="C461" s="5" t="s">
        <v>620</v>
      </c>
      <c r="D461" s="5" t="s">
        <v>1173</v>
      </c>
      <c r="E461" s="5" t="s">
        <v>1183</v>
      </c>
      <c r="F461" s="5" t="s">
        <v>16</v>
      </c>
      <c r="G461" s="5" t="s">
        <v>17</v>
      </c>
      <c r="H461" s="5"/>
      <c r="I461" s="6" t="n">
        <v>42156</v>
      </c>
      <c r="J461" s="5" t="s">
        <v>19</v>
      </c>
      <c r="K461" s="5"/>
      <c r="L461" s="5"/>
    </row>
    <row r="462" customFormat="false" ht="13.35" hidden="false" customHeight="true" outlineLevel="0" collapsed="false">
      <c r="A462" s="2" t="str">
        <f aca="false">HYPERLINK("https://www.fabsurplus.com/sdi_catalog/salesItemDetails.do?id=102112")</f>
        <v>https://www.fabsurplus.com/sdi_catalog/salesItemDetails.do?id=102112</v>
      </c>
      <c r="B462" s="2" t="s">
        <v>1184</v>
      </c>
      <c r="C462" s="2" t="s">
        <v>620</v>
      </c>
      <c r="D462" s="2" t="s">
        <v>1173</v>
      </c>
      <c r="E462" s="2" t="s">
        <v>1183</v>
      </c>
      <c r="F462" s="2" t="s">
        <v>16</v>
      </c>
      <c r="G462" s="2" t="s">
        <v>17</v>
      </c>
      <c r="H462" s="2"/>
      <c r="I462" s="3" t="n">
        <v>42156</v>
      </c>
      <c r="J462" s="2" t="s">
        <v>19</v>
      </c>
      <c r="K462" s="2"/>
      <c r="L462" s="2"/>
    </row>
    <row r="463" customFormat="false" ht="13.35" hidden="false" customHeight="true" outlineLevel="0" collapsed="false">
      <c r="A463" s="2" t="str">
        <f aca="false">HYPERLINK("https://www.fabsurplus.com/sdi_catalog/salesItemDetails.do?id=102114")</f>
        <v>https://www.fabsurplus.com/sdi_catalog/salesItemDetails.do?id=102114</v>
      </c>
      <c r="B463" s="2" t="s">
        <v>1185</v>
      </c>
      <c r="C463" s="2" t="s">
        <v>620</v>
      </c>
      <c r="D463" s="2" t="s">
        <v>1173</v>
      </c>
      <c r="E463" s="2" t="s">
        <v>1183</v>
      </c>
      <c r="F463" s="2" t="s">
        <v>16</v>
      </c>
      <c r="G463" s="2" t="s">
        <v>17</v>
      </c>
      <c r="H463" s="2"/>
      <c r="I463" s="3" t="n">
        <v>42887</v>
      </c>
      <c r="J463" s="2" t="s">
        <v>19</v>
      </c>
      <c r="K463" s="2"/>
      <c r="L463" s="2"/>
    </row>
    <row r="464" customFormat="false" ht="13.35" hidden="false" customHeight="true" outlineLevel="0" collapsed="false">
      <c r="A464" s="5" t="str">
        <f aca="false">HYPERLINK("https://www.fabsurplus.com/sdi_catalog/salesItemDetails.do?id=102113")</f>
        <v>https://www.fabsurplus.com/sdi_catalog/salesItemDetails.do?id=102113</v>
      </c>
      <c r="B464" s="5" t="s">
        <v>1186</v>
      </c>
      <c r="C464" s="5" t="s">
        <v>620</v>
      </c>
      <c r="D464" s="5" t="s">
        <v>1173</v>
      </c>
      <c r="E464" s="5" t="s">
        <v>1187</v>
      </c>
      <c r="F464" s="5" t="s">
        <v>16</v>
      </c>
      <c r="G464" s="5" t="s">
        <v>17</v>
      </c>
      <c r="H464" s="5"/>
      <c r="I464" s="6" t="n">
        <v>42522</v>
      </c>
      <c r="J464" s="5" t="s">
        <v>19</v>
      </c>
      <c r="K464" s="5"/>
      <c r="L464" s="5"/>
    </row>
    <row r="465" customFormat="false" ht="13.35" hidden="false" customHeight="true" outlineLevel="0" collapsed="false">
      <c r="A465" s="2" t="str">
        <f aca="false">HYPERLINK("https://www.fabsurplus.com/sdi_catalog/salesItemDetails.do?id=93053")</f>
        <v>https://www.fabsurplus.com/sdi_catalog/salesItemDetails.do?id=93053</v>
      </c>
      <c r="B465" s="2" t="s">
        <v>1188</v>
      </c>
      <c r="C465" s="2" t="s">
        <v>620</v>
      </c>
      <c r="D465" s="2" t="s">
        <v>1177</v>
      </c>
      <c r="E465" s="2" t="s">
        <v>1189</v>
      </c>
      <c r="F465" s="2" t="s">
        <v>16</v>
      </c>
      <c r="G465" s="2" t="s">
        <v>17</v>
      </c>
      <c r="H465" s="2"/>
      <c r="I465" s="3" t="n">
        <v>41791</v>
      </c>
      <c r="J465" s="2" t="s">
        <v>19</v>
      </c>
      <c r="K465" s="2"/>
      <c r="L465" s="2" t="s">
        <v>112</v>
      </c>
    </row>
    <row r="466" customFormat="false" ht="13.35" hidden="false" customHeight="true" outlineLevel="0" collapsed="false">
      <c r="A466" s="5" t="str">
        <f aca="false">HYPERLINK("https://www.fabsurplus.com/sdi_catalog/salesItemDetails.do?id=93108")</f>
        <v>https://www.fabsurplus.com/sdi_catalog/salesItemDetails.do?id=93108</v>
      </c>
      <c r="B466" s="5" t="s">
        <v>1190</v>
      </c>
      <c r="C466" s="5" t="s">
        <v>620</v>
      </c>
      <c r="D466" s="5" t="s">
        <v>1177</v>
      </c>
      <c r="E466" s="5" t="s">
        <v>1191</v>
      </c>
      <c r="F466" s="5" t="s">
        <v>16</v>
      </c>
      <c r="G466" s="5" t="s">
        <v>17</v>
      </c>
      <c r="H466" s="5"/>
      <c r="I466" s="6" t="n">
        <v>42887</v>
      </c>
      <c r="J466" s="5" t="s">
        <v>19</v>
      </c>
      <c r="K466" s="5"/>
      <c r="L466" s="5" t="s">
        <v>112</v>
      </c>
    </row>
    <row r="467" customFormat="false" ht="13.35" hidden="false" customHeight="true" outlineLevel="0" collapsed="false">
      <c r="A467" s="2" t="str">
        <f aca="false">HYPERLINK("https://www.fabsurplus.com/sdi_catalog/salesItemDetails.do?id=93109")</f>
        <v>https://www.fabsurplus.com/sdi_catalog/salesItemDetails.do?id=93109</v>
      </c>
      <c r="B467" s="2" t="s">
        <v>1192</v>
      </c>
      <c r="C467" s="2" t="s">
        <v>620</v>
      </c>
      <c r="D467" s="2" t="s">
        <v>1177</v>
      </c>
      <c r="E467" s="2" t="s">
        <v>1191</v>
      </c>
      <c r="F467" s="2" t="s">
        <v>16</v>
      </c>
      <c r="G467" s="2" t="s">
        <v>17</v>
      </c>
      <c r="H467" s="2"/>
      <c r="I467" s="3" t="n">
        <v>42887</v>
      </c>
      <c r="J467" s="2" t="s">
        <v>19</v>
      </c>
      <c r="K467" s="2"/>
      <c r="L467" s="2" t="s">
        <v>112</v>
      </c>
    </row>
    <row r="468" customFormat="false" ht="13.35" hidden="false" customHeight="true" outlineLevel="0" collapsed="false">
      <c r="A468" s="2" t="str">
        <f aca="false">HYPERLINK("https://www.fabsurplus.com/sdi_catalog/salesItemDetails.do?id=93110")</f>
        <v>https://www.fabsurplus.com/sdi_catalog/salesItemDetails.do?id=93110</v>
      </c>
      <c r="B468" s="2" t="s">
        <v>1193</v>
      </c>
      <c r="C468" s="2" t="s">
        <v>620</v>
      </c>
      <c r="D468" s="2" t="s">
        <v>1177</v>
      </c>
      <c r="E468" s="2" t="s">
        <v>1191</v>
      </c>
      <c r="F468" s="2" t="s">
        <v>16</v>
      </c>
      <c r="G468" s="2" t="s">
        <v>17</v>
      </c>
      <c r="H468" s="2"/>
      <c r="I468" s="3" t="n">
        <v>42887</v>
      </c>
      <c r="J468" s="2" t="s">
        <v>19</v>
      </c>
      <c r="K468" s="2"/>
      <c r="L468" s="2" t="s">
        <v>112</v>
      </c>
    </row>
    <row r="469" customFormat="false" ht="13.35" hidden="false" customHeight="true" outlineLevel="0" collapsed="false">
      <c r="A469" s="5" t="str">
        <f aca="false">HYPERLINK("https://www.fabsurplus.com/sdi_catalog/salesItemDetails.do?id=102115")</f>
        <v>https://www.fabsurplus.com/sdi_catalog/salesItemDetails.do?id=102115</v>
      </c>
      <c r="B469" s="5" t="s">
        <v>1194</v>
      </c>
      <c r="C469" s="5" t="s">
        <v>620</v>
      </c>
      <c r="D469" s="5" t="s">
        <v>1195</v>
      </c>
      <c r="E469" s="5" t="s">
        <v>1196</v>
      </c>
      <c r="F469" s="5" t="s">
        <v>16</v>
      </c>
      <c r="G469" s="5" t="s">
        <v>17</v>
      </c>
      <c r="H469" s="5"/>
      <c r="I469" s="6" t="n">
        <v>40330</v>
      </c>
      <c r="J469" s="5" t="s">
        <v>19</v>
      </c>
      <c r="K469" s="5"/>
      <c r="L469" s="5"/>
    </row>
    <row r="470" customFormat="false" ht="13.35" hidden="false" customHeight="true" outlineLevel="0" collapsed="false">
      <c r="A470" s="2" t="str">
        <f aca="false">HYPERLINK("https://www.fabsurplus.com/sdi_catalog/salesItemDetails.do?id=102116")</f>
        <v>https://www.fabsurplus.com/sdi_catalog/salesItemDetails.do?id=102116</v>
      </c>
      <c r="B470" s="2" t="s">
        <v>1197</v>
      </c>
      <c r="C470" s="2" t="s">
        <v>620</v>
      </c>
      <c r="D470" s="2" t="s">
        <v>1195</v>
      </c>
      <c r="E470" s="2" t="s">
        <v>1198</v>
      </c>
      <c r="F470" s="2" t="s">
        <v>16</v>
      </c>
      <c r="G470" s="2" t="s">
        <v>17</v>
      </c>
      <c r="H470" s="2"/>
      <c r="I470" s="3" t="n">
        <v>41791</v>
      </c>
      <c r="J470" s="2" t="s">
        <v>19</v>
      </c>
      <c r="K470" s="2"/>
      <c r="L470" s="2"/>
    </row>
    <row r="471" customFormat="false" ht="13.35" hidden="false" customHeight="true" outlineLevel="0" collapsed="false">
      <c r="A471" s="2" t="str">
        <f aca="false">HYPERLINK("https://www.fabsurplus.com/sdi_catalog/salesItemDetails.do?id=91208")</f>
        <v>https://www.fabsurplus.com/sdi_catalog/salesItemDetails.do?id=91208</v>
      </c>
      <c r="B471" s="2" t="s">
        <v>1199</v>
      </c>
      <c r="C471" s="2" t="s">
        <v>620</v>
      </c>
      <c r="D471" s="2" t="s">
        <v>1200</v>
      </c>
      <c r="E471" s="2" t="s">
        <v>1201</v>
      </c>
      <c r="F471" s="2" t="s">
        <v>16</v>
      </c>
      <c r="G471" s="2" t="s">
        <v>17</v>
      </c>
      <c r="H471" s="2"/>
      <c r="I471" s="2"/>
      <c r="J471" s="2" t="s">
        <v>19</v>
      </c>
      <c r="K471" s="2"/>
      <c r="L471" s="2" t="s">
        <v>112</v>
      </c>
    </row>
    <row r="472" customFormat="false" ht="13.35" hidden="false" customHeight="true" outlineLevel="0" collapsed="false">
      <c r="A472" s="5" t="str">
        <f aca="false">HYPERLINK("https://www.fabsurplus.com/sdi_catalog/salesItemDetails.do?id=91209")</f>
        <v>https://www.fabsurplus.com/sdi_catalog/salesItemDetails.do?id=91209</v>
      </c>
      <c r="B472" s="5" t="s">
        <v>1202</v>
      </c>
      <c r="C472" s="5" t="s">
        <v>620</v>
      </c>
      <c r="D472" s="5" t="s">
        <v>1203</v>
      </c>
      <c r="E472" s="5" t="s">
        <v>1201</v>
      </c>
      <c r="F472" s="5" t="s">
        <v>16</v>
      </c>
      <c r="G472" s="5" t="s">
        <v>17</v>
      </c>
      <c r="H472" s="5"/>
      <c r="I472" s="5"/>
      <c r="J472" s="5" t="s">
        <v>19</v>
      </c>
      <c r="K472" s="5"/>
      <c r="L472" s="5" t="s">
        <v>112</v>
      </c>
    </row>
    <row r="473" customFormat="false" ht="13.35" hidden="false" customHeight="true" outlineLevel="0" collapsed="false">
      <c r="A473" s="5" t="str">
        <f aca="false">HYPERLINK("https://www.fabsurplus.com/sdi_catalog/salesItemDetails.do?id=91210")</f>
        <v>https://www.fabsurplus.com/sdi_catalog/salesItemDetails.do?id=91210</v>
      </c>
      <c r="B473" s="5" t="s">
        <v>1204</v>
      </c>
      <c r="C473" s="5" t="s">
        <v>620</v>
      </c>
      <c r="D473" s="5" t="s">
        <v>1205</v>
      </c>
      <c r="E473" s="5" t="s">
        <v>1201</v>
      </c>
      <c r="F473" s="5" t="s">
        <v>16</v>
      </c>
      <c r="G473" s="5" t="s">
        <v>17</v>
      </c>
      <c r="H473" s="5" t="s">
        <v>26</v>
      </c>
      <c r="I473" s="5"/>
      <c r="J473" s="5" t="s">
        <v>19</v>
      </c>
      <c r="K473" s="5" t="s">
        <v>20</v>
      </c>
      <c r="L473" s="7" t="s">
        <v>1206</v>
      </c>
    </row>
    <row r="474" customFormat="false" ht="13.35" hidden="false" customHeight="true" outlineLevel="0" collapsed="false">
      <c r="A474" s="2" t="str">
        <f aca="false">HYPERLINK("https://www.fabsurplus.com/sdi_catalog/salesItemDetails.do?id=91211")</f>
        <v>https://www.fabsurplus.com/sdi_catalog/salesItemDetails.do?id=91211</v>
      </c>
      <c r="B474" s="2" t="s">
        <v>1207</v>
      </c>
      <c r="C474" s="2" t="s">
        <v>620</v>
      </c>
      <c r="D474" s="2" t="s">
        <v>1208</v>
      </c>
      <c r="E474" s="2" t="s">
        <v>1209</v>
      </c>
      <c r="F474" s="2" t="s">
        <v>16</v>
      </c>
      <c r="G474" s="2" t="s">
        <v>17</v>
      </c>
      <c r="H474" s="2"/>
      <c r="I474" s="3" t="n">
        <v>38869</v>
      </c>
      <c r="J474" s="2" t="s">
        <v>19</v>
      </c>
      <c r="K474" s="2"/>
      <c r="L474" s="2" t="s">
        <v>112</v>
      </c>
    </row>
    <row r="475" customFormat="false" ht="13.35" hidden="false" customHeight="true" outlineLevel="0" collapsed="false">
      <c r="A475" s="2" t="str">
        <f aca="false">HYPERLINK("https://www.fabsurplus.com/sdi_catalog/salesItemDetails.do?id=102119")</f>
        <v>https://www.fabsurplus.com/sdi_catalog/salesItemDetails.do?id=102119</v>
      </c>
      <c r="B475" s="2" t="s">
        <v>1210</v>
      </c>
      <c r="C475" s="2" t="s">
        <v>620</v>
      </c>
      <c r="D475" s="2" t="s">
        <v>1208</v>
      </c>
      <c r="E475" s="2" t="s">
        <v>1211</v>
      </c>
      <c r="F475" s="2" t="s">
        <v>16</v>
      </c>
      <c r="G475" s="2" t="s">
        <v>17</v>
      </c>
      <c r="H475" s="2"/>
      <c r="I475" s="3" t="n">
        <v>38139</v>
      </c>
      <c r="J475" s="2" t="s">
        <v>19</v>
      </c>
      <c r="K475" s="2"/>
      <c r="L475" s="2"/>
    </row>
    <row r="476" customFormat="false" ht="13.35" hidden="false" customHeight="true" outlineLevel="0" collapsed="false">
      <c r="A476" s="5" t="str">
        <f aca="false">HYPERLINK("https://www.fabsurplus.com/sdi_catalog/salesItemDetails.do?id=102118")</f>
        <v>https://www.fabsurplus.com/sdi_catalog/salesItemDetails.do?id=102118</v>
      </c>
      <c r="B476" s="5" t="s">
        <v>1212</v>
      </c>
      <c r="C476" s="5" t="s">
        <v>620</v>
      </c>
      <c r="D476" s="5" t="s">
        <v>1208</v>
      </c>
      <c r="E476" s="5" t="s">
        <v>1213</v>
      </c>
      <c r="F476" s="5" t="s">
        <v>16</v>
      </c>
      <c r="G476" s="5" t="s">
        <v>17</v>
      </c>
      <c r="H476" s="5"/>
      <c r="I476" s="6" t="n">
        <v>37773</v>
      </c>
      <c r="J476" s="5" t="s">
        <v>19</v>
      </c>
      <c r="K476" s="5"/>
      <c r="L476" s="5"/>
    </row>
    <row r="477" customFormat="false" ht="13.35" hidden="false" customHeight="true" outlineLevel="0" collapsed="false">
      <c r="A477" s="2" t="str">
        <f aca="false">HYPERLINK("https://www.fabsurplus.com/sdi_catalog/salesItemDetails.do?id=102120")</f>
        <v>https://www.fabsurplus.com/sdi_catalog/salesItemDetails.do?id=102120</v>
      </c>
      <c r="B477" s="2" t="s">
        <v>1214</v>
      </c>
      <c r="C477" s="2" t="s">
        <v>620</v>
      </c>
      <c r="D477" s="2" t="s">
        <v>1208</v>
      </c>
      <c r="E477" s="2" t="s">
        <v>1213</v>
      </c>
      <c r="F477" s="2" t="s">
        <v>16</v>
      </c>
      <c r="G477" s="2" t="s">
        <v>17</v>
      </c>
      <c r="H477" s="2"/>
      <c r="I477" s="3" t="n">
        <v>38869</v>
      </c>
      <c r="J477" s="2" t="s">
        <v>19</v>
      </c>
      <c r="K477" s="2"/>
      <c r="L477" s="2"/>
    </row>
    <row r="478" customFormat="false" ht="13.35" hidden="false" customHeight="true" outlineLevel="0" collapsed="false">
      <c r="A478" s="2" t="str">
        <f aca="false">HYPERLINK("https://www.fabsurplus.com/sdi_catalog/salesItemDetails.do?id=91213")</f>
        <v>https://www.fabsurplus.com/sdi_catalog/salesItemDetails.do?id=91213</v>
      </c>
      <c r="B478" s="2" t="s">
        <v>1215</v>
      </c>
      <c r="C478" s="2" t="s">
        <v>620</v>
      </c>
      <c r="D478" s="2" t="s">
        <v>1208</v>
      </c>
      <c r="E478" s="2" t="s">
        <v>1216</v>
      </c>
      <c r="F478" s="2" t="s">
        <v>16</v>
      </c>
      <c r="G478" s="2" t="s">
        <v>17</v>
      </c>
      <c r="H478" s="2"/>
      <c r="I478" s="3" t="n">
        <v>40695</v>
      </c>
      <c r="J478" s="2" t="s">
        <v>19</v>
      </c>
      <c r="K478" s="2"/>
      <c r="L478" s="2" t="s">
        <v>112</v>
      </c>
    </row>
    <row r="479" customFormat="false" ht="13.35" hidden="false" customHeight="true" outlineLevel="0" collapsed="false">
      <c r="A479" s="2" t="str">
        <f aca="false">HYPERLINK("https://www.fabsurplus.com/sdi_catalog/salesItemDetails.do?id=91212")</f>
        <v>https://www.fabsurplus.com/sdi_catalog/salesItemDetails.do?id=91212</v>
      </c>
      <c r="B479" s="2" t="s">
        <v>1217</v>
      </c>
      <c r="C479" s="2" t="s">
        <v>620</v>
      </c>
      <c r="D479" s="2" t="s">
        <v>1208</v>
      </c>
      <c r="E479" s="2" t="s">
        <v>1218</v>
      </c>
      <c r="F479" s="2" t="s">
        <v>16</v>
      </c>
      <c r="G479" s="2" t="s">
        <v>1219</v>
      </c>
      <c r="H479" s="2"/>
      <c r="I479" s="3" t="n">
        <v>39234</v>
      </c>
      <c r="J479" s="2" t="s">
        <v>19</v>
      </c>
      <c r="K479" s="2"/>
      <c r="L479" s="2" t="s">
        <v>112</v>
      </c>
    </row>
    <row r="480" customFormat="false" ht="13.35" hidden="false" customHeight="true" outlineLevel="0" collapsed="false">
      <c r="A480" s="2" t="str">
        <f aca="false">HYPERLINK("https://www.fabsurplus.com/sdi_catalog/salesItemDetails.do?id=100916")</f>
        <v>https://www.fabsurplus.com/sdi_catalog/salesItemDetails.do?id=100916</v>
      </c>
      <c r="B480" s="2" t="s">
        <v>1220</v>
      </c>
      <c r="C480" s="2" t="s">
        <v>620</v>
      </c>
      <c r="D480" s="2" t="s">
        <v>1221</v>
      </c>
      <c r="E480" s="2" t="s">
        <v>1222</v>
      </c>
      <c r="F480" s="2" t="s">
        <v>16</v>
      </c>
      <c r="G480" s="2" t="s">
        <v>17</v>
      </c>
      <c r="H480" s="2"/>
      <c r="I480" s="3" t="n">
        <v>37408</v>
      </c>
      <c r="J480" s="2" t="s">
        <v>19</v>
      </c>
      <c r="K480" s="2"/>
      <c r="L480" s="2" t="s">
        <v>618</v>
      </c>
    </row>
    <row r="481" customFormat="false" ht="13.35" hidden="false" customHeight="true" outlineLevel="0" collapsed="false">
      <c r="A481" s="2" t="str">
        <f aca="false">HYPERLINK("https://www.fabsurplus.com/sdi_catalog/salesItemDetails.do?id=102121")</f>
        <v>https://www.fabsurplus.com/sdi_catalog/salesItemDetails.do?id=102121</v>
      </c>
      <c r="B481" s="2" t="s">
        <v>1223</v>
      </c>
      <c r="C481" s="2" t="s">
        <v>620</v>
      </c>
      <c r="D481" s="2" t="s">
        <v>1224</v>
      </c>
      <c r="E481" s="2" t="s">
        <v>1225</v>
      </c>
      <c r="F481" s="2" t="s">
        <v>16</v>
      </c>
      <c r="G481" s="2" t="s">
        <v>17</v>
      </c>
      <c r="H481" s="2"/>
      <c r="I481" s="3" t="n">
        <v>39234</v>
      </c>
      <c r="J481" s="2" t="s">
        <v>19</v>
      </c>
      <c r="K481" s="2"/>
      <c r="L481" s="2"/>
    </row>
    <row r="482" customFormat="false" ht="13.35" hidden="false" customHeight="true" outlineLevel="0" collapsed="false">
      <c r="A482" s="2" t="str">
        <f aca="false">HYPERLINK("https://www.fabsurplus.com/sdi_catalog/salesItemDetails.do?id=102122")</f>
        <v>https://www.fabsurplus.com/sdi_catalog/salesItemDetails.do?id=102122</v>
      </c>
      <c r="B482" s="2" t="s">
        <v>1226</v>
      </c>
      <c r="C482" s="2" t="s">
        <v>620</v>
      </c>
      <c r="D482" s="2" t="s">
        <v>1227</v>
      </c>
      <c r="E482" s="2" t="s">
        <v>1228</v>
      </c>
      <c r="F482" s="2" t="s">
        <v>16</v>
      </c>
      <c r="G482" s="2" t="s">
        <v>17</v>
      </c>
      <c r="H482" s="2"/>
      <c r="I482" s="3" t="n">
        <v>37408</v>
      </c>
      <c r="J482" s="2" t="s">
        <v>19</v>
      </c>
      <c r="K482" s="2"/>
      <c r="L482" s="2"/>
    </row>
    <row r="483" customFormat="false" ht="13.35" hidden="false" customHeight="true" outlineLevel="0" collapsed="false">
      <c r="A483" s="2" t="str">
        <f aca="false">HYPERLINK("https://www.fabsurplus.com/sdi_catalog/salesItemDetails.do?id=102123")</f>
        <v>https://www.fabsurplus.com/sdi_catalog/salesItemDetails.do?id=102123</v>
      </c>
      <c r="B483" s="2" t="s">
        <v>1229</v>
      </c>
      <c r="C483" s="2" t="s">
        <v>620</v>
      </c>
      <c r="D483" s="2" t="s">
        <v>1227</v>
      </c>
      <c r="E483" s="2" t="s">
        <v>1228</v>
      </c>
      <c r="F483" s="2" t="s">
        <v>16</v>
      </c>
      <c r="G483" s="2" t="s">
        <v>17</v>
      </c>
      <c r="H483" s="2"/>
      <c r="I483" s="3" t="n">
        <v>37408</v>
      </c>
      <c r="J483" s="2" t="s">
        <v>19</v>
      </c>
      <c r="K483" s="2"/>
      <c r="L483" s="2"/>
    </row>
    <row r="484" customFormat="false" ht="13.35" hidden="false" customHeight="true" outlineLevel="0" collapsed="false">
      <c r="A484" s="2" t="str">
        <f aca="false">HYPERLINK("https://www.fabsurplus.com/sdi_catalog/salesItemDetails.do?id=102124")</f>
        <v>https://www.fabsurplus.com/sdi_catalog/salesItemDetails.do?id=102124</v>
      </c>
      <c r="B484" s="2" t="s">
        <v>1230</v>
      </c>
      <c r="C484" s="2" t="s">
        <v>620</v>
      </c>
      <c r="D484" s="2" t="s">
        <v>1227</v>
      </c>
      <c r="E484" s="2" t="s">
        <v>1228</v>
      </c>
      <c r="F484" s="2" t="s">
        <v>16</v>
      </c>
      <c r="G484" s="2" t="s">
        <v>17</v>
      </c>
      <c r="H484" s="2"/>
      <c r="I484" s="3" t="n">
        <v>37408</v>
      </c>
      <c r="J484" s="2" t="s">
        <v>19</v>
      </c>
      <c r="K484" s="2"/>
      <c r="L484" s="2"/>
    </row>
    <row r="485" customFormat="false" ht="13.35" hidden="false" customHeight="true" outlineLevel="0" collapsed="false">
      <c r="A485" s="2" t="str">
        <f aca="false">HYPERLINK("https://www.fabsurplus.com/sdi_catalog/salesItemDetails.do?id=102125")</f>
        <v>https://www.fabsurplus.com/sdi_catalog/salesItemDetails.do?id=102125</v>
      </c>
      <c r="B485" s="2" t="s">
        <v>1231</v>
      </c>
      <c r="C485" s="2" t="s">
        <v>620</v>
      </c>
      <c r="D485" s="2" t="s">
        <v>1227</v>
      </c>
      <c r="E485" s="2" t="s">
        <v>1232</v>
      </c>
      <c r="F485" s="2" t="s">
        <v>16</v>
      </c>
      <c r="G485" s="2" t="s">
        <v>17</v>
      </c>
      <c r="H485" s="2"/>
      <c r="I485" s="3" t="n">
        <v>40695</v>
      </c>
      <c r="J485" s="2" t="s">
        <v>19</v>
      </c>
      <c r="K485" s="2"/>
      <c r="L485" s="2"/>
    </row>
    <row r="486" customFormat="false" ht="13.35" hidden="false" customHeight="true" outlineLevel="0" collapsed="false">
      <c r="A486" s="5" t="str">
        <f aca="false">HYPERLINK("https://www.fabsurplus.com/sdi_catalog/salesItemDetails.do?id=98825")</f>
        <v>https://www.fabsurplus.com/sdi_catalog/salesItemDetails.do?id=98825</v>
      </c>
      <c r="B486" s="5" t="s">
        <v>1233</v>
      </c>
      <c r="C486" s="5" t="s">
        <v>620</v>
      </c>
      <c r="D486" s="5" t="s">
        <v>1234</v>
      </c>
      <c r="E486" s="5" t="s">
        <v>829</v>
      </c>
      <c r="F486" s="5" t="s">
        <v>16</v>
      </c>
      <c r="G486" s="5" t="s">
        <v>17</v>
      </c>
      <c r="H486" s="5"/>
      <c r="I486" s="6" t="n">
        <v>41061</v>
      </c>
      <c r="J486" s="5" t="s">
        <v>19</v>
      </c>
      <c r="K486" s="5"/>
      <c r="L486" s="7" t="s">
        <v>654</v>
      </c>
    </row>
    <row r="487" customFormat="false" ht="13.35" hidden="false" customHeight="true" outlineLevel="0" collapsed="false">
      <c r="A487" s="5" t="str">
        <f aca="false">HYPERLINK("https://www.fabsurplus.com/sdi_catalog/salesItemDetails.do?id=101537")</f>
        <v>https://www.fabsurplus.com/sdi_catalog/salesItemDetails.do?id=101537</v>
      </c>
      <c r="B487" s="5" t="s">
        <v>1235</v>
      </c>
      <c r="C487" s="5" t="s">
        <v>620</v>
      </c>
      <c r="D487" s="5" t="s">
        <v>1236</v>
      </c>
      <c r="E487" s="5" t="s">
        <v>829</v>
      </c>
      <c r="F487" s="5" t="s">
        <v>16</v>
      </c>
      <c r="G487" s="5" t="s">
        <v>17</v>
      </c>
      <c r="H487" s="5" t="s">
        <v>26</v>
      </c>
      <c r="I487" s="6" t="n">
        <v>39234</v>
      </c>
      <c r="J487" s="5" t="s">
        <v>19</v>
      </c>
      <c r="K487" s="5" t="s">
        <v>20</v>
      </c>
      <c r="L487" s="5"/>
    </row>
    <row r="488" customFormat="false" ht="13.35" hidden="false" customHeight="true" outlineLevel="0" collapsed="false">
      <c r="A488" s="5" t="str">
        <f aca="false">HYPERLINK("https://www.fabsurplus.com/sdi_catalog/salesItemDetails.do?id=103053")</f>
        <v>https://www.fabsurplus.com/sdi_catalog/salesItemDetails.do?id=103053</v>
      </c>
      <c r="B488" s="5" t="s">
        <v>1237</v>
      </c>
      <c r="C488" s="5" t="s">
        <v>620</v>
      </c>
      <c r="D488" s="5" t="s">
        <v>1238</v>
      </c>
      <c r="E488" s="5" t="s">
        <v>88</v>
      </c>
      <c r="F488" s="5" t="s">
        <v>1239</v>
      </c>
      <c r="G488" s="5" t="s">
        <v>154</v>
      </c>
      <c r="H488" s="5" t="s">
        <v>26</v>
      </c>
      <c r="I488" s="5"/>
      <c r="J488" s="5" t="s">
        <v>47</v>
      </c>
      <c r="K488" s="5" t="s">
        <v>20</v>
      </c>
      <c r="L488" s="7" t="s">
        <v>1240</v>
      </c>
    </row>
    <row r="489" customFormat="false" ht="13.35" hidden="false" customHeight="true" outlineLevel="0" collapsed="false">
      <c r="A489" s="5" t="str">
        <f aca="false">HYPERLINK("https://www.fabsurplus.com/sdi_catalog/salesItemDetails.do?id=102126")</f>
        <v>https://www.fabsurplus.com/sdi_catalog/salesItemDetails.do?id=102126</v>
      </c>
      <c r="B489" s="5" t="s">
        <v>1241</v>
      </c>
      <c r="C489" s="5" t="s">
        <v>620</v>
      </c>
      <c r="D489" s="5" t="s">
        <v>1242</v>
      </c>
      <c r="E489" s="5" t="s">
        <v>1031</v>
      </c>
      <c r="F489" s="5" t="s">
        <v>16</v>
      </c>
      <c r="G489" s="5" t="s">
        <v>17</v>
      </c>
      <c r="H489" s="5"/>
      <c r="I489" s="5"/>
      <c r="J489" s="5" t="s">
        <v>19</v>
      </c>
      <c r="K489" s="5"/>
      <c r="L489" s="5"/>
    </row>
    <row r="490" customFormat="false" ht="13.35" hidden="false" customHeight="true" outlineLevel="0" collapsed="false">
      <c r="A490" s="5" t="str">
        <f aca="false">HYPERLINK("https://www.fabsurplus.com/sdi_catalog/salesItemDetails.do?id=102127")</f>
        <v>https://www.fabsurplus.com/sdi_catalog/salesItemDetails.do?id=102127</v>
      </c>
      <c r="B490" s="5" t="s">
        <v>1243</v>
      </c>
      <c r="C490" s="5" t="s">
        <v>620</v>
      </c>
      <c r="D490" s="5" t="s">
        <v>1242</v>
      </c>
      <c r="E490" s="5" t="s">
        <v>1031</v>
      </c>
      <c r="F490" s="5" t="s">
        <v>16</v>
      </c>
      <c r="G490" s="5" t="s">
        <v>17</v>
      </c>
      <c r="H490" s="5"/>
      <c r="I490" s="6" t="n">
        <v>38139</v>
      </c>
      <c r="J490" s="5" t="s">
        <v>19</v>
      </c>
      <c r="K490" s="5"/>
      <c r="L490" s="5"/>
    </row>
    <row r="491" customFormat="false" ht="13.35" hidden="false" customHeight="true" outlineLevel="0" collapsed="false">
      <c r="A491" s="5" t="str">
        <f aca="false">HYPERLINK("https://www.fabsurplus.com/sdi_catalog/salesItemDetails.do?id=97225")</f>
        <v>https://www.fabsurplus.com/sdi_catalog/salesItemDetails.do?id=97225</v>
      </c>
      <c r="B491" s="5" t="s">
        <v>1244</v>
      </c>
      <c r="C491" s="5" t="s">
        <v>620</v>
      </c>
      <c r="D491" s="5" t="s">
        <v>1245</v>
      </c>
      <c r="E491" s="5" t="s">
        <v>1031</v>
      </c>
      <c r="F491" s="5" t="s">
        <v>16</v>
      </c>
      <c r="G491" s="5" t="s">
        <v>17</v>
      </c>
      <c r="H491" s="5" t="s">
        <v>26</v>
      </c>
      <c r="I491" s="6" t="n">
        <v>38047</v>
      </c>
      <c r="J491" s="5" t="s">
        <v>19</v>
      </c>
      <c r="K491" s="5" t="s">
        <v>20</v>
      </c>
      <c r="L491" s="7" t="s">
        <v>654</v>
      </c>
    </row>
    <row r="492" customFormat="false" ht="13.35" hidden="false" customHeight="true" outlineLevel="0" collapsed="false">
      <c r="A492" s="2" t="str">
        <f aca="false">HYPERLINK("https://www.fabsurplus.com/sdi_catalog/salesItemDetails.do?id=103065")</f>
        <v>https://www.fabsurplus.com/sdi_catalog/salesItemDetails.do?id=103065</v>
      </c>
      <c r="B492" s="2" t="s">
        <v>1246</v>
      </c>
      <c r="C492" s="2" t="s">
        <v>620</v>
      </c>
      <c r="D492" s="2" t="s">
        <v>1247</v>
      </c>
      <c r="E492" s="2" t="s">
        <v>1248</v>
      </c>
      <c r="F492" s="2" t="s">
        <v>16</v>
      </c>
      <c r="G492" s="2" t="s">
        <v>658</v>
      </c>
      <c r="H492" s="2"/>
      <c r="I492" s="3" t="n">
        <v>37773</v>
      </c>
      <c r="J492" s="2" t="s">
        <v>19</v>
      </c>
      <c r="K492" s="2"/>
      <c r="L492" s="4" t="s">
        <v>1249</v>
      </c>
    </row>
    <row r="493" customFormat="false" ht="13.35" hidden="false" customHeight="true" outlineLevel="0" collapsed="false">
      <c r="A493" s="2" t="str">
        <f aca="false">HYPERLINK("https://www.fabsurplus.com/sdi_catalog/salesItemDetails.do?id=102128")</f>
        <v>https://www.fabsurplus.com/sdi_catalog/salesItemDetails.do?id=102128</v>
      </c>
      <c r="B493" s="2" t="s">
        <v>1250</v>
      </c>
      <c r="C493" s="2" t="s">
        <v>620</v>
      </c>
      <c r="D493" s="2" t="s">
        <v>1251</v>
      </c>
      <c r="E493" s="2" t="s">
        <v>1031</v>
      </c>
      <c r="F493" s="2" t="s">
        <v>16</v>
      </c>
      <c r="G493" s="2" t="s">
        <v>17</v>
      </c>
      <c r="H493" s="2"/>
      <c r="I493" s="3" t="n">
        <v>38504</v>
      </c>
      <c r="J493" s="2" t="s">
        <v>19</v>
      </c>
      <c r="K493" s="2"/>
      <c r="L493" s="2"/>
    </row>
    <row r="494" customFormat="false" ht="13.35" hidden="false" customHeight="true" outlineLevel="0" collapsed="false">
      <c r="A494" s="5" t="str">
        <f aca="false">HYPERLINK("https://www.fabsurplus.com/sdi_catalog/salesItemDetails.do?id=102129")</f>
        <v>https://www.fabsurplus.com/sdi_catalog/salesItemDetails.do?id=102129</v>
      </c>
      <c r="B494" s="5" t="s">
        <v>1252</v>
      </c>
      <c r="C494" s="5" t="s">
        <v>620</v>
      </c>
      <c r="D494" s="5" t="s">
        <v>1253</v>
      </c>
      <c r="E494" s="5" t="s">
        <v>1254</v>
      </c>
      <c r="F494" s="5" t="s">
        <v>16</v>
      </c>
      <c r="G494" s="5" t="s">
        <v>36</v>
      </c>
      <c r="H494" s="5"/>
      <c r="I494" s="6" t="n">
        <v>36678</v>
      </c>
      <c r="J494" s="5" t="s">
        <v>19</v>
      </c>
      <c r="K494" s="5"/>
      <c r="L494" s="5"/>
    </row>
    <row r="495" customFormat="false" ht="13.35" hidden="false" customHeight="true" outlineLevel="0" collapsed="false">
      <c r="A495" s="2" t="str">
        <f aca="false">HYPERLINK("https://www.fabsurplus.com/sdi_catalog/salesItemDetails.do?id=102490")</f>
        <v>https://www.fabsurplus.com/sdi_catalog/salesItemDetails.do?id=102490</v>
      </c>
      <c r="B495" s="2" t="s">
        <v>1255</v>
      </c>
      <c r="C495" s="2" t="s">
        <v>620</v>
      </c>
      <c r="D495" s="2" t="s">
        <v>1256</v>
      </c>
      <c r="E495" s="2"/>
      <c r="F495" s="2" t="s">
        <v>1257</v>
      </c>
      <c r="G495" s="2" t="s">
        <v>154</v>
      </c>
      <c r="H495" s="2" t="s">
        <v>592</v>
      </c>
      <c r="I495" s="2"/>
      <c r="J495" s="2" t="s">
        <v>19</v>
      </c>
      <c r="K495" s="2"/>
      <c r="L495" s="4" t="s">
        <v>1258</v>
      </c>
    </row>
    <row r="496" customFormat="false" ht="13.35" hidden="false" customHeight="true" outlineLevel="0" collapsed="false">
      <c r="A496" s="2" t="str">
        <f aca="false">HYPERLINK("https://www.fabsurplus.com/sdi_catalog/salesItemDetails.do?id=98263")</f>
        <v>https://www.fabsurplus.com/sdi_catalog/salesItemDetails.do?id=98263</v>
      </c>
      <c r="B496" s="2" t="s">
        <v>1259</v>
      </c>
      <c r="C496" s="2" t="s">
        <v>620</v>
      </c>
      <c r="D496" s="2" t="s">
        <v>1260</v>
      </c>
      <c r="E496" s="2" t="s">
        <v>1261</v>
      </c>
      <c r="F496" s="2" t="s">
        <v>16</v>
      </c>
      <c r="G496" s="2" t="s">
        <v>17</v>
      </c>
      <c r="H496" s="2"/>
      <c r="I496" s="3" t="n">
        <v>38504</v>
      </c>
      <c r="J496" s="2" t="s">
        <v>19</v>
      </c>
      <c r="K496" s="2"/>
      <c r="L496" s="2"/>
    </row>
    <row r="497" customFormat="false" ht="13.35" hidden="false" customHeight="true" outlineLevel="0" collapsed="false">
      <c r="A497" s="5" t="str">
        <f aca="false">HYPERLINK("https://www.fabsurplus.com/sdi_catalog/salesItemDetails.do?id=92045")</f>
        <v>https://www.fabsurplus.com/sdi_catalog/salesItemDetails.do?id=92045</v>
      </c>
      <c r="B497" s="5" t="s">
        <v>1262</v>
      </c>
      <c r="C497" s="5" t="s">
        <v>620</v>
      </c>
      <c r="D497" s="5" t="s">
        <v>1263</v>
      </c>
      <c r="E497" s="5" t="s">
        <v>1264</v>
      </c>
      <c r="F497" s="5" t="s">
        <v>16</v>
      </c>
      <c r="G497" s="5" t="s">
        <v>17</v>
      </c>
      <c r="H497" s="5" t="s">
        <v>18</v>
      </c>
      <c r="I497" s="6" t="n">
        <v>41061</v>
      </c>
      <c r="J497" s="5" t="s">
        <v>19</v>
      </c>
      <c r="K497" s="5" t="s">
        <v>20</v>
      </c>
      <c r="L497" s="7" t="s">
        <v>1265</v>
      </c>
    </row>
    <row r="498" customFormat="false" ht="13.35" hidden="false" customHeight="true" outlineLevel="0" collapsed="false">
      <c r="A498" s="2" t="str">
        <f aca="false">HYPERLINK("https://www.fabsurplus.com/sdi_catalog/salesItemDetails.do?id=102130")</f>
        <v>https://www.fabsurplus.com/sdi_catalog/salesItemDetails.do?id=102130</v>
      </c>
      <c r="B498" s="2" t="s">
        <v>1266</v>
      </c>
      <c r="C498" s="2" t="s">
        <v>620</v>
      </c>
      <c r="D498" s="2" t="s">
        <v>1267</v>
      </c>
      <c r="E498" s="2" t="s">
        <v>1268</v>
      </c>
      <c r="F498" s="2" t="s">
        <v>16</v>
      </c>
      <c r="G498" s="2" t="s">
        <v>17</v>
      </c>
      <c r="H498" s="2"/>
      <c r="I498" s="3" t="n">
        <v>38504</v>
      </c>
      <c r="J498" s="2" t="s">
        <v>19</v>
      </c>
      <c r="K498" s="2"/>
      <c r="L498" s="2"/>
    </row>
    <row r="499" customFormat="false" ht="13.35" hidden="false" customHeight="true" outlineLevel="0" collapsed="false">
      <c r="A499" s="2" t="str">
        <f aca="false">HYPERLINK("https://www.fabsurplus.com/sdi_catalog/salesItemDetails.do?id=93395")</f>
        <v>https://www.fabsurplus.com/sdi_catalog/salesItemDetails.do?id=93395</v>
      </c>
      <c r="B499" s="2" t="s">
        <v>1269</v>
      </c>
      <c r="C499" s="2" t="s">
        <v>620</v>
      </c>
      <c r="D499" s="2" t="s">
        <v>1270</v>
      </c>
      <c r="E499" s="2" t="s">
        <v>1264</v>
      </c>
      <c r="F499" s="2" t="s">
        <v>16</v>
      </c>
      <c r="G499" s="2" t="s">
        <v>36</v>
      </c>
      <c r="H499" s="2" t="s">
        <v>26</v>
      </c>
      <c r="I499" s="2"/>
      <c r="J499" s="2" t="s">
        <v>19</v>
      </c>
      <c r="K499" s="2" t="s">
        <v>20</v>
      </c>
      <c r="L499" s="2"/>
    </row>
    <row r="500" customFormat="false" ht="13.35" hidden="false" customHeight="true" outlineLevel="0" collapsed="false">
      <c r="A500" s="5" t="str">
        <f aca="false">HYPERLINK("https://www.fabsurplus.com/sdi_catalog/salesItemDetails.do?id=102986")</f>
        <v>https://www.fabsurplus.com/sdi_catalog/salesItemDetails.do?id=102986</v>
      </c>
      <c r="B500" s="5" t="s">
        <v>1271</v>
      </c>
      <c r="C500" s="5" t="s">
        <v>620</v>
      </c>
      <c r="D500" s="5" t="s">
        <v>1272</v>
      </c>
      <c r="E500" s="5" t="s">
        <v>1273</v>
      </c>
      <c r="F500" s="5" t="s">
        <v>16</v>
      </c>
      <c r="G500" s="5" t="s">
        <v>17</v>
      </c>
      <c r="H500" s="5"/>
      <c r="I500" s="6" t="n">
        <v>39600</v>
      </c>
      <c r="J500" s="5" t="s">
        <v>19</v>
      </c>
      <c r="K500" s="5"/>
      <c r="L500" s="5" t="s">
        <v>1274</v>
      </c>
    </row>
    <row r="501" customFormat="false" ht="13.35" hidden="false" customHeight="true" outlineLevel="0" collapsed="false">
      <c r="A501" s="2" t="str">
        <f aca="false">HYPERLINK("https://www.fabsurplus.com/sdi_catalog/salesItemDetails.do?id=98264")</f>
        <v>https://www.fabsurplus.com/sdi_catalog/salesItemDetails.do?id=98264</v>
      </c>
      <c r="B501" s="2" t="s">
        <v>1275</v>
      </c>
      <c r="C501" s="2" t="s">
        <v>620</v>
      </c>
      <c r="D501" s="2" t="s">
        <v>1276</v>
      </c>
      <c r="E501" s="2" t="s">
        <v>818</v>
      </c>
      <c r="F501" s="2" t="s">
        <v>16</v>
      </c>
      <c r="G501" s="2" t="s">
        <v>17</v>
      </c>
      <c r="H501" s="2"/>
      <c r="I501" s="3" t="n">
        <v>37773</v>
      </c>
      <c r="J501" s="2" t="s">
        <v>19</v>
      </c>
      <c r="K501" s="2"/>
      <c r="L501" s="2"/>
    </row>
    <row r="502" customFormat="false" ht="13.35" hidden="false" customHeight="true" outlineLevel="0" collapsed="false">
      <c r="A502" s="5" t="str">
        <f aca="false">HYPERLINK("https://www.fabsurplus.com/sdi_catalog/salesItemDetails.do?id=102131")</f>
        <v>https://www.fabsurplus.com/sdi_catalog/salesItemDetails.do?id=102131</v>
      </c>
      <c r="B502" s="5" t="s">
        <v>1277</v>
      </c>
      <c r="C502" s="5" t="s">
        <v>620</v>
      </c>
      <c r="D502" s="5" t="s">
        <v>1278</v>
      </c>
      <c r="E502" s="5" t="s">
        <v>818</v>
      </c>
      <c r="F502" s="5" t="s">
        <v>16</v>
      </c>
      <c r="G502" s="5" t="s">
        <v>17</v>
      </c>
      <c r="H502" s="5"/>
      <c r="I502" s="6" t="n">
        <v>42156</v>
      </c>
      <c r="J502" s="5" t="s">
        <v>19</v>
      </c>
      <c r="K502" s="5"/>
      <c r="L502" s="5"/>
    </row>
    <row r="503" customFormat="false" ht="13.35" hidden="false" customHeight="true" outlineLevel="0" collapsed="false">
      <c r="A503" s="5" t="str">
        <f aca="false">HYPERLINK("https://www.fabsurplus.com/sdi_catalog/salesItemDetails.do?id=102132")</f>
        <v>https://www.fabsurplus.com/sdi_catalog/salesItemDetails.do?id=102132</v>
      </c>
      <c r="B503" s="5" t="s">
        <v>1279</v>
      </c>
      <c r="C503" s="5" t="s">
        <v>620</v>
      </c>
      <c r="D503" s="5" t="s">
        <v>1278</v>
      </c>
      <c r="E503" s="5" t="s">
        <v>818</v>
      </c>
      <c r="F503" s="5" t="s">
        <v>16</v>
      </c>
      <c r="G503" s="5" t="s">
        <v>17</v>
      </c>
      <c r="H503" s="5"/>
      <c r="I503" s="6" t="n">
        <v>41426</v>
      </c>
      <c r="J503" s="5" t="s">
        <v>19</v>
      </c>
      <c r="K503" s="5"/>
      <c r="L503" s="5"/>
    </row>
    <row r="504" customFormat="false" ht="13.35" hidden="false" customHeight="true" outlineLevel="0" collapsed="false">
      <c r="A504" s="5" t="str">
        <f aca="false">HYPERLINK("https://www.fabsurplus.com/sdi_catalog/salesItemDetails.do?id=102133")</f>
        <v>https://www.fabsurplus.com/sdi_catalog/salesItemDetails.do?id=102133</v>
      </c>
      <c r="B504" s="5" t="s">
        <v>1280</v>
      </c>
      <c r="C504" s="5" t="s">
        <v>620</v>
      </c>
      <c r="D504" s="5" t="s">
        <v>1278</v>
      </c>
      <c r="E504" s="5" t="s">
        <v>818</v>
      </c>
      <c r="F504" s="5" t="s">
        <v>16</v>
      </c>
      <c r="G504" s="5" t="s">
        <v>17</v>
      </c>
      <c r="H504" s="5"/>
      <c r="I504" s="6" t="n">
        <v>41791</v>
      </c>
      <c r="J504" s="5" t="s">
        <v>19</v>
      </c>
      <c r="K504" s="5"/>
      <c r="L504" s="5"/>
    </row>
    <row r="505" customFormat="false" ht="13.35" hidden="false" customHeight="true" outlineLevel="0" collapsed="false">
      <c r="A505" s="5" t="str">
        <f aca="false">HYPERLINK("https://www.fabsurplus.com/sdi_catalog/salesItemDetails.do?id=102659")</f>
        <v>https://www.fabsurplus.com/sdi_catalog/salesItemDetails.do?id=102659</v>
      </c>
      <c r="B505" s="5" t="s">
        <v>1281</v>
      </c>
      <c r="C505" s="5" t="s">
        <v>1282</v>
      </c>
      <c r="D505" s="5" t="s">
        <v>1283</v>
      </c>
      <c r="E505" s="5" t="s">
        <v>1284</v>
      </c>
      <c r="F505" s="5" t="s">
        <v>16</v>
      </c>
      <c r="G505" s="5" t="s">
        <v>17</v>
      </c>
      <c r="H505" s="5"/>
      <c r="I505" s="5"/>
      <c r="J505" s="5" t="s">
        <v>19</v>
      </c>
      <c r="K505" s="5"/>
      <c r="L505" s="7" t="s">
        <v>1285</v>
      </c>
    </row>
    <row r="506" customFormat="false" ht="13.35" hidden="false" customHeight="true" outlineLevel="0" collapsed="false">
      <c r="A506" s="5" t="str">
        <f aca="false">HYPERLINK("https://www.fabsurplus.com/sdi_catalog/salesItemDetails.do?id=102660")</f>
        <v>https://www.fabsurplus.com/sdi_catalog/salesItemDetails.do?id=102660</v>
      </c>
      <c r="B506" s="5" t="s">
        <v>1286</v>
      </c>
      <c r="C506" s="5" t="s">
        <v>1282</v>
      </c>
      <c r="D506" s="5" t="s">
        <v>1283</v>
      </c>
      <c r="E506" s="5" t="s">
        <v>1284</v>
      </c>
      <c r="F506" s="5" t="s">
        <v>16</v>
      </c>
      <c r="G506" s="5" t="s">
        <v>17</v>
      </c>
      <c r="H506" s="5" t="s">
        <v>26</v>
      </c>
      <c r="I506" s="5"/>
      <c r="J506" s="5" t="s">
        <v>19</v>
      </c>
      <c r="K506" s="5"/>
      <c r="L506" s="7" t="s">
        <v>1287</v>
      </c>
    </row>
    <row r="507" customFormat="false" ht="13.35" hidden="false" customHeight="true" outlineLevel="0" collapsed="false">
      <c r="A507" s="2" t="str">
        <f aca="false">HYPERLINK("https://www.fabsurplus.com/sdi_catalog/salesItemDetails.do?id=102661")</f>
        <v>https://www.fabsurplus.com/sdi_catalog/salesItemDetails.do?id=102661</v>
      </c>
      <c r="B507" s="2" t="s">
        <v>1288</v>
      </c>
      <c r="C507" s="2" t="s">
        <v>1282</v>
      </c>
      <c r="D507" s="2" t="s">
        <v>1289</v>
      </c>
      <c r="E507" s="2" t="s">
        <v>1290</v>
      </c>
      <c r="F507" s="2" t="s">
        <v>16</v>
      </c>
      <c r="G507" s="2" t="s">
        <v>17</v>
      </c>
      <c r="H507" s="2"/>
      <c r="I507" s="2"/>
      <c r="J507" s="2" t="s">
        <v>19</v>
      </c>
      <c r="K507" s="2"/>
      <c r="L507" s="4" t="s">
        <v>1291</v>
      </c>
    </row>
    <row r="508" customFormat="false" ht="13.35" hidden="false" customHeight="true" outlineLevel="0" collapsed="false">
      <c r="A508" s="2" t="str">
        <f aca="false">HYPERLINK("https://www.fabsurplus.com/sdi_catalog/salesItemDetails.do?id=102663")</f>
        <v>https://www.fabsurplus.com/sdi_catalog/salesItemDetails.do?id=102663</v>
      </c>
      <c r="B508" s="2" t="s">
        <v>1292</v>
      </c>
      <c r="C508" s="2" t="s">
        <v>1282</v>
      </c>
      <c r="D508" s="2" t="s">
        <v>1293</v>
      </c>
      <c r="E508" s="2" t="s">
        <v>1294</v>
      </c>
      <c r="F508" s="2" t="s">
        <v>16</v>
      </c>
      <c r="G508" s="2" t="s">
        <v>17</v>
      </c>
      <c r="H508" s="2"/>
      <c r="I508" s="3" t="n">
        <v>38504</v>
      </c>
      <c r="J508" s="2" t="s">
        <v>19</v>
      </c>
      <c r="K508" s="2"/>
      <c r="L508" s="4" t="s">
        <v>1295</v>
      </c>
    </row>
    <row r="509" customFormat="false" ht="13.35" hidden="false" customHeight="true" outlineLevel="0" collapsed="false">
      <c r="A509" s="2" t="str">
        <f aca="false">HYPERLINK("https://www.fabsurplus.com/sdi_catalog/salesItemDetails.do?id=102664")</f>
        <v>https://www.fabsurplus.com/sdi_catalog/salesItemDetails.do?id=102664</v>
      </c>
      <c r="B509" s="2" t="s">
        <v>1296</v>
      </c>
      <c r="C509" s="2" t="s">
        <v>1282</v>
      </c>
      <c r="D509" s="2" t="s">
        <v>1293</v>
      </c>
      <c r="E509" s="2" t="s">
        <v>1294</v>
      </c>
      <c r="F509" s="2" t="s">
        <v>16</v>
      </c>
      <c r="G509" s="2" t="s">
        <v>17</v>
      </c>
      <c r="H509" s="2"/>
      <c r="I509" s="3" t="n">
        <v>38504</v>
      </c>
      <c r="J509" s="2" t="s">
        <v>19</v>
      </c>
      <c r="K509" s="2"/>
      <c r="L509" s="4" t="s">
        <v>1297</v>
      </c>
    </row>
    <row r="510" customFormat="false" ht="13.35" hidden="false" customHeight="true" outlineLevel="0" collapsed="false">
      <c r="A510" s="5" t="str">
        <f aca="false">HYPERLINK("https://www.fabsurplus.com/sdi_catalog/salesItemDetails.do?id=102662")</f>
        <v>https://www.fabsurplus.com/sdi_catalog/salesItemDetails.do?id=102662</v>
      </c>
      <c r="B510" s="5" t="s">
        <v>1298</v>
      </c>
      <c r="C510" s="5" t="s">
        <v>1282</v>
      </c>
      <c r="D510" s="5" t="s">
        <v>1293</v>
      </c>
      <c r="E510" s="5" t="s">
        <v>1299</v>
      </c>
      <c r="F510" s="5" t="s">
        <v>16</v>
      </c>
      <c r="G510" s="5" t="s">
        <v>17</v>
      </c>
      <c r="H510" s="5"/>
      <c r="I510" s="6" t="n">
        <v>39173</v>
      </c>
      <c r="J510" s="5" t="s">
        <v>19</v>
      </c>
      <c r="K510" s="5"/>
      <c r="L510" s="7" t="s">
        <v>1300</v>
      </c>
    </row>
    <row r="511" customFormat="false" ht="13.35" hidden="false" customHeight="true" outlineLevel="0" collapsed="false">
      <c r="A511" s="2" t="str">
        <f aca="false">HYPERLINK("https://www.fabsurplus.com/sdi_catalog/salesItemDetails.do?id=102667")</f>
        <v>https://www.fabsurplus.com/sdi_catalog/salesItemDetails.do?id=102667</v>
      </c>
      <c r="B511" s="2" t="s">
        <v>1301</v>
      </c>
      <c r="C511" s="2" t="s">
        <v>1282</v>
      </c>
      <c r="D511" s="2" t="s">
        <v>1302</v>
      </c>
      <c r="E511" s="2" t="s">
        <v>1303</v>
      </c>
      <c r="F511" s="2" t="s">
        <v>16</v>
      </c>
      <c r="G511" s="2" t="s">
        <v>17</v>
      </c>
      <c r="H511" s="2"/>
      <c r="I511" s="2"/>
      <c r="J511" s="2" t="s">
        <v>19</v>
      </c>
      <c r="K511" s="2"/>
      <c r="L511" s="4" t="s">
        <v>1304</v>
      </c>
    </row>
    <row r="512" customFormat="false" ht="13.35" hidden="false" customHeight="true" outlineLevel="0" collapsed="false">
      <c r="A512" s="5" t="str">
        <f aca="false">HYPERLINK("https://www.fabsurplus.com/sdi_catalog/salesItemDetails.do?id=102668")</f>
        <v>https://www.fabsurplus.com/sdi_catalog/salesItemDetails.do?id=102668</v>
      </c>
      <c r="B512" s="5" t="s">
        <v>1305</v>
      </c>
      <c r="C512" s="5" t="s">
        <v>1282</v>
      </c>
      <c r="D512" s="5" t="s">
        <v>1302</v>
      </c>
      <c r="E512" s="5" t="s">
        <v>1306</v>
      </c>
      <c r="F512" s="5" t="s">
        <v>16</v>
      </c>
      <c r="G512" s="5" t="s">
        <v>17</v>
      </c>
      <c r="H512" s="5"/>
      <c r="I512" s="5"/>
      <c r="J512" s="5" t="s">
        <v>19</v>
      </c>
      <c r="K512" s="5"/>
      <c r="L512" s="7" t="s">
        <v>1307</v>
      </c>
    </row>
    <row r="513" customFormat="false" ht="13.35" hidden="false" customHeight="true" outlineLevel="0" collapsed="false">
      <c r="A513" s="2" t="str">
        <f aca="false">HYPERLINK("https://www.fabsurplus.com/sdi_catalog/salesItemDetails.do?id=102669")</f>
        <v>https://www.fabsurplus.com/sdi_catalog/salesItemDetails.do?id=102669</v>
      </c>
      <c r="B513" s="2" t="s">
        <v>1308</v>
      </c>
      <c r="C513" s="2" t="s">
        <v>1282</v>
      </c>
      <c r="D513" s="2" t="s">
        <v>1309</v>
      </c>
      <c r="E513" s="2" t="s">
        <v>1310</v>
      </c>
      <c r="F513" s="2" t="s">
        <v>16</v>
      </c>
      <c r="G513" s="2" t="s">
        <v>17</v>
      </c>
      <c r="H513" s="2"/>
      <c r="I513" s="3" t="n">
        <v>38504</v>
      </c>
      <c r="J513" s="2" t="s">
        <v>19</v>
      </c>
      <c r="K513" s="2"/>
      <c r="L513" s="4" t="s">
        <v>1311</v>
      </c>
    </row>
    <row r="514" customFormat="false" ht="13.35" hidden="false" customHeight="true" outlineLevel="0" collapsed="false">
      <c r="A514" s="5" t="str">
        <f aca="false">HYPERLINK("https://www.fabsurplus.com/sdi_catalog/salesItemDetails.do?id=102673")</f>
        <v>https://www.fabsurplus.com/sdi_catalog/salesItemDetails.do?id=102673</v>
      </c>
      <c r="B514" s="5" t="s">
        <v>1312</v>
      </c>
      <c r="C514" s="5" t="s">
        <v>1282</v>
      </c>
      <c r="D514" s="5" t="s">
        <v>1313</v>
      </c>
      <c r="E514" s="5" t="s">
        <v>1314</v>
      </c>
      <c r="F514" s="5" t="s">
        <v>16</v>
      </c>
      <c r="G514" s="5" t="s">
        <v>17</v>
      </c>
      <c r="H514" s="5"/>
      <c r="I514" s="5"/>
      <c r="J514" s="5" t="s">
        <v>19</v>
      </c>
      <c r="K514" s="5"/>
      <c r="L514" s="5"/>
    </row>
    <row r="515" customFormat="false" ht="13.35" hidden="false" customHeight="true" outlineLevel="0" collapsed="false">
      <c r="A515" s="2" t="str">
        <f aca="false">HYPERLINK("https://www.fabsurplus.com/sdi_catalog/salesItemDetails.do?id=102674")</f>
        <v>https://www.fabsurplus.com/sdi_catalog/salesItemDetails.do?id=102674</v>
      </c>
      <c r="B515" s="2" t="s">
        <v>1315</v>
      </c>
      <c r="C515" s="2" t="s">
        <v>1282</v>
      </c>
      <c r="D515" s="2" t="s">
        <v>1313</v>
      </c>
      <c r="E515" s="2" t="s">
        <v>1314</v>
      </c>
      <c r="F515" s="2" t="s">
        <v>16</v>
      </c>
      <c r="G515" s="2" t="s">
        <v>17</v>
      </c>
      <c r="H515" s="2"/>
      <c r="I515" s="2"/>
      <c r="J515" s="2" t="s">
        <v>19</v>
      </c>
      <c r="K515" s="2"/>
      <c r="L515" s="2"/>
    </row>
    <row r="516" customFormat="false" ht="13.35" hidden="false" customHeight="true" outlineLevel="0" collapsed="false">
      <c r="A516" s="2" t="str">
        <f aca="false">HYPERLINK("https://www.fabsurplus.com/sdi_catalog/salesItemDetails.do?id=102996")</f>
        <v>https://www.fabsurplus.com/sdi_catalog/salesItemDetails.do?id=102996</v>
      </c>
      <c r="B516" s="2" t="s">
        <v>1316</v>
      </c>
      <c r="C516" s="2" t="s">
        <v>1317</v>
      </c>
      <c r="D516" s="2" t="s">
        <v>502</v>
      </c>
      <c r="E516" s="2" t="s">
        <v>1318</v>
      </c>
      <c r="F516" s="2" t="s">
        <v>16</v>
      </c>
      <c r="G516" s="2" t="s">
        <v>1319</v>
      </c>
      <c r="H516" s="2"/>
      <c r="I516" s="2"/>
      <c r="J516" s="2" t="s">
        <v>19</v>
      </c>
      <c r="K516" s="2"/>
      <c r="L516" s="4" t="s">
        <v>1320</v>
      </c>
    </row>
    <row r="517" customFormat="false" ht="13.35" hidden="false" customHeight="true" outlineLevel="0" collapsed="false">
      <c r="A517" s="5" t="str">
        <f aca="false">HYPERLINK("https://www.fabsurplus.com/sdi_catalog/salesItemDetails.do?id=103066")</f>
        <v>https://www.fabsurplus.com/sdi_catalog/salesItemDetails.do?id=103066</v>
      </c>
      <c r="B517" s="5" t="s">
        <v>1321</v>
      </c>
      <c r="C517" s="5" t="s">
        <v>1317</v>
      </c>
      <c r="D517" s="5" t="s">
        <v>533</v>
      </c>
      <c r="E517" s="5" t="s">
        <v>1322</v>
      </c>
      <c r="F517" s="5" t="s">
        <v>16</v>
      </c>
      <c r="G517" s="5" t="s">
        <v>535</v>
      </c>
      <c r="H517" s="5"/>
      <c r="I517" s="5"/>
      <c r="J517" s="5" t="s">
        <v>19</v>
      </c>
      <c r="K517" s="5"/>
      <c r="L517" s="7" t="s">
        <v>1323</v>
      </c>
    </row>
    <row r="518" customFormat="false" ht="13.35" hidden="false" customHeight="true" outlineLevel="0" collapsed="false">
      <c r="A518" s="5" t="str">
        <f aca="false">HYPERLINK("https://www.fabsurplus.com/sdi_catalog/salesItemDetails.do?id=87975")</f>
        <v>https://www.fabsurplus.com/sdi_catalog/salesItemDetails.do?id=87975</v>
      </c>
      <c r="B518" s="5" t="s">
        <v>1324</v>
      </c>
      <c r="C518" s="5" t="s">
        <v>1325</v>
      </c>
      <c r="D518" s="5" t="s">
        <v>1326</v>
      </c>
      <c r="E518" s="5" t="s">
        <v>87</v>
      </c>
      <c r="F518" s="5" t="s">
        <v>46</v>
      </c>
      <c r="G518" s="5" t="s">
        <v>88</v>
      </c>
      <c r="H518" s="5"/>
      <c r="I518" s="5"/>
      <c r="J518" s="5" t="s">
        <v>19</v>
      </c>
      <c r="K518" s="5"/>
      <c r="L518" s="5" t="s">
        <v>89</v>
      </c>
    </row>
    <row r="519" customFormat="false" ht="13.35" hidden="false" customHeight="true" outlineLevel="0" collapsed="false">
      <c r="A519" s="2" t="str">
        <f aca="false">HYPERLINK("https://www.fabsurplus.com/sdi_catalog/salesItemDetails.do?id=87976")</f>
        <v>https://www.fabsurplus.com/sdi_catalog/salesItemDetails.do?id=87976</v>
      </c>
      <c r="B519" s="2" t="s">
        <v>1327</v>
      </c>
      <c r="C519" s="2" t="s">
        <v>1325</v>
      </c>
      <c r="D519" s="2" t="s">
        <v>1328</v>
      </c>
      <c r="E519" s="2" t="s">
        <v>87</v>
      </c>
      <c r="F519" s="2" t="s">
        <v>46</v>
      </c>
      <c r="G519" s="2" t="s">
        <v>88</v>
      </c>
      <c r="H519" s="2"/>
      <c r="I519" s="2"/>
      <c r="J519" s="2" t="s">
        <v>19</v>
      </c>
      <c r="K519" s="2"/>
      <c r="L519" s="2" t="s">
        <v>89</v>
      </c>
    </row>
    <row r="520" customFormat="false" ht="13.35" hidden="false" customHeight="true" outlineLevel="0" collapsed="false">
      <c r="A520" s="5" t="str">
        <f aca="false">HYPERLINK("https://www.fabsurplus.com/sdi_catalog/salesItemDetails.do?id=87977")</f>
        <v>https://www.fabsurplus.com/sdi_catalog/salesItemDetails.do?id=87977</v>
      </c>
      <c r="B520" s="5" t="s">
        <v>1329</v>
      </c>
      <c r="C520" s="5" t="s">
        <v>1325</v>
      </c>
      <c r="D520" s="5" t="s">
        <v>1330</v>
      </c>
      <c r="E520" s="5" t="s">
        <v>87</v>
      </c>
      <c r="F520" s="5" t="s">
        <v>16</v>
      </c>
      <c r="G520" s="5" t="s">
        <v>88</v>
      </c>
      <c r="H520" s="5"/>
      <c r="I520" s="5"/>
      <c r="J520" s="5" t="s">
        <v>19</v>
      </c>
      <c r="K520" s="5"/>
      <c r="L520" s="5" t="s">
        <v>89</v>
      </c>
    </row>
    <row r="521" customFormat="false" ht="13.35" hidden="false" customHeight="true" outlineLevel="0" collapsed="false">
      <c r="A521" s="2" t="str">
        <f aca="false">HYPERLINK("https://www.fabsurplus.com/sdi_catalog/salesItemDetails.do?id=87978")</f>
        <v>https://www.fabsurplus.com/sdi_catalog/salesItemDetails.do?id=87978</v>
      </c>
      <c r="B521" s="2" t="s">
        <v>1331</v>
      </c>
      <c r="C521" s="2" t="s">
        <v>1325</v>
      </c>
      <c r="D521" s="2" t="s">
        <v>1332</v>
      </c>
      <c r="E521" s="2" t="s">
        <v>87</v>
      </c>
      <c r="F521" s="2" t="s">
        <v>16</v>
      </c>
      <c r="G521" s="2" t="s">
        <v>88</v>
      </c>
      <c r="H521" s="2"/>
      <c r="I521" s="2"/>
      <c r="J521" s="2" t="s">
        <v>19</v>
      </c>
      <c r="K521" s="2"/>
      <c r="L521" s="2" t="s">
        <v>89</v>
      </c>
    </row>
    <row r="522" customFormat="false" ht="13.35" hidden="false" customHeight="true" outlineLevel="0" collapsed="false">
      <c r="A522" s="5" t="str">
        <f aca="false">HYPERLINK("https://www.fabsurplus.com/sdi_catalog/salesItemDetails.do?id=87979")</f>
        <v>https://www.fabsurplus.com/sdi_catalog/salesItemDetails.do?id=87979</v>
      </c>
      <c r="B522" s="5" t="s">
        <v>1333</v>
      </c>
      <c r="C522" s="5" t="s">
        <v>1325</v>
      </c>
      <c r="D522" s="5" t="s">
        <v>1334</v>
      </c>
      <c r="E522" s="5" t="s">
        <v>87</v>
      </c>
      <c r="F522" s="5" t="s">
        <v>16</v>
      </c>
      <c r="G522" s="5" t="s">
        <v>88</v>
      </c>
      <c r="H522" s="5"/>
      <c r="I522" s="5"/>
      <c r="J522" s="5" t="s">
        <v>19</v>
      </c>
      <c r="K522" s="5"/>
      <c r="L522" s="5" t="s">
        <v>89</v>
      </c>
    </row>
    <row r="523" customFormat="false" ht="13.35" hidden="false" customHeight="true" outlineLevel="0" collapsed="false">
      <c r="A523" s="5" t="str">
        <f aca="false">HYPERLINK("https://www.fabsurplus.com/sdi_catalog/salesItemDetails.do?id=98857")</f>
        <v>https://www.fabsurplus.com/sdi_catalog/salesItemDetails.do?id=98857</v>
      </c>
      <c r="B523" s="5" t="s">
        <v>1335</v>
      </c>
      <c r="C523" s="5" t="s">
        <v>1336</v>
      </c>
      <c r="D523" s="5" t="s">
        <v>1337</v>
      </c>
      <c r="E523" s="5" t="s">
        <v>1338</v>
      </c>
      <c r="F523" s="5" t="s">
        <v>16</v>
      </c>
      <c r="G523" s="5" t="s">
        <v>36</v>
      </c>
      <c r="H523" s="5" t="s">
        <v>96</v>
      </c>
      <c r="I523" s="6" t="n">
        <v>35947</v>
      </c>
      <c r="J523" s="5" t="s">
        <v>47</v>
      </c>
      <c r="K523" s="5"/>
      <c r="L523" s="7" t="s">
        <v>1339</v>
      </c>
    </row>
    <row r="524" customFormat="false" ht="13.35" hidden="false" customHeight="true" outlineLevel="0" collapsed="false">
      <c r="A524" s="2" t="str">
        <f aca="false">HYPERLINK("https://www.fabsurplus.com/sdi_catalog/salesItemDetails.do?id=102134")</f>
        <v>https://www.fabsurplus.com/sdi_catalog/salesItemDetails.do?id=102134</v>
      </c>
      <c r="B524" s="2" t="s">
        <v>1340</v>
      </c>
      <c r="C524" s="2" t="s">
        <v>1336</v>
      </c>
      <c r="D524" s="2" t="s">
        <v>1341</v>
      </c>
      <c r="E524" s="2" t="s">
        <v>1342</v>
      </c>
      <c r="F524" s="2" t="s">
        <v>16</v>
      </c>
      <c r="G524" s="2" t="s">
        <v>17</v>
      </c>
      <c r="H524" s="2"/>
      <c r="I524" s="3" t="n">
        <v>40695</v>
      </c>
      <c r="J524" s="2" t="s">
        <v>19</v>
      </c>
      <c r="K524" s="2"/>
      <c r="L524" s="2" t="s">
        <v>1343</v>
      </c>
    </row>
    <row r="525" customFormat="false" ht="13.35" hidden="false" customHeight="true" outlineLevel="0" collapsed="false">
      <c r="A525" s="5" t="str">
        <f aca="false">HYPERLINK("https://www.fabsurplus.com/sdi_catalog/salesItemDetails.do?id=103067")</f>
        <v>https://www.fabsurplus.com/sdi_catalog/salesItemDetails.do?id=103067</v>
      </c>
      <c r="B525" s="5" t="s">
        <v>1344</v>
      </c>
      <c r="C525" s="5" t="s">
        <v>1336</v>
      </c>
      <c r="D525" s="5" t="s">
        <v>1345</v>
      </c>
      <c r="E525" s="5" t="s">
        <v>1346</v>
      </c>
      <c r="F525" s="5" t="s">
        <v>16</v>
      </c>
      <c r="G525" s="5" t="s">
        <v>658</v>
      </c>
      <c r="H525" s="5"/>
      <c r="I525" s="6" t="n">
        <v>38869</v>
      </c>
      <c r="J525" s="5" t="s">
        <v>19</v>
      </c>
      <c r="K525" s="5"/>
      <c r="L525" s="7" t="s">
        <v>1347</v>
      </c>
    </row>
    <row r="526" customFormat="false" ht="13.35" hidden="false" customHeight="true" outlineLevel="0" collapsed="false">
      <c r="A526" s="2" t="str">
        <f aca="false">HYPERLINK("https://www.fabsurplus.com/sdi_catalog/salesItemDetails.do?id=103068")</f>
        <v>https://www.fabsurplus.com/sdi_catalog/salesItemDetails.do?id=103068</v>
      </c>
      <c r="B526" s="2" t="s">
        <v>1348</v>
      </c>
      <c r="C526" s="2" t="s">
        <v>1336</v>
      </c>
      <c r="D526" s="2" t="s">
        <v>1349</v>
      </c>
      <c r="E526" s="2" t="s">
        <v>1346</v>
      </c>
      <c r="F526" s="2" t="s">
        <v>16</v>
      </c>
      <c r="G526" s="2" t="s">
        <v>658</v>
      </c>
      <c r="H526" s="2"/>
      <c r="I526" s="3" t="n">
        <v>39234</v>
      </c>
      <c r="J526" s="2" t="s">
        <v>19</v>
      </c>
      <c r="K526" s="2"/>
      <c r="L526" s="4" t="s">
        <v>1350</v>
      </c>
    </row>
    <row r="527" customFormat="false" ht="13.35" hidden="false" customHeight="true" outlineLevel="0" collapsed="false">
      <c r="A527" s="5" t="str">
        <f aca="false">HYPERLINK("https://www.fabsurplus.com/sdi_catalog/salesItemDetails.do?id=97101")</f>
        <v>https://www.fabsurplus.com/sdi_catalog/salesItemDetails.do?id=97101</v>
      </c>
      <c r="B527" s="5" t="s">
        <v>1351</v>
      </c>
      <c r="C527" s="5" t="s">
        <v>1336</v>
      </c>
      <c r="D527" s="5" t="s">
        <v>1352</v>
      </c>
      <c r="E527" s="5" t="s">
        <v>1353</v>
      </c>
      <c r="F527" s="5" t="s">
        <v>16</v>
      </c>
      <c r="G527" s="5" t="s">
        <v>160</v>
      </c>
      <c r="H527" s="5" t="s">
        <v>18</v>
      </c>
      <c r="I527" s="6" t="n">
        <v>40695</v>
      </c>
      <c r="J527" s="5" t="s">
        <v>19</v>
      </c>
      <c r="K527" s="5" t="s">
        <v>20</v>
      </c>
      <c r="L527" s="5" t="s">
        <v>1354</v>
      </c>
    </row>
    <row r="528" customFormat="false" ht="13.35" hidden="false" customHeight="true" outlineLevel="0" collapsed="false">
      <c r="A528" s="5" t="str">
        <f aca="false">HYPERLINK("https://www.fabsurplus.com/sdi_catalog/salesItemDetails.do?id=100626")</f>
        <v>https://www.fabsurplus.com/sdi_catalog/salesItemDetails.do?id=100626</v>
      </c>
      <c r="B528" s="5" t="s">
        <v>1355</v>
      </c>
      <c r="C528" s="5" t="s">
        <v>1336</v>
      </c>
      <c r="D528" s="5" t="s">
        <v>1356</v>
      </c>
      <c r="E528" s="5" t="s">
        <v>1357</v>
      </c>
      <c r="F528" s="5" t="s">
        <v>16</v>
      </c>
      <c r="G528" s="5" t="s">
        <v>160</v>
      </c>
      <c r="H528" s="5"/>
      <c r="I528" s="5"/>
      <c r="J528" s="5" t="s">
        <v>19</v>
      </c>
      <c r="K528" s="5"/>
      <c r="L528" s="5" t="s">
        <v>474</v>
      </c>
    </row>
    <row r="529" customFormat="false" ht="13.35" hidden="false" customHeight="true" outlineLevel="0" collapsed="false">
      <c r="A529" s="2" t="str">
        <f aca="false">HYPERLINK("https://www.fabsurplus.com/sdi_catalog/salesItemDetails.do?id=100627")</f>
        <v>https://www.fabsurplus.com/sdi_catalog/salesItemDetails.do?id=100627</v>
      </c>
      <c r="B529" s="2" t="s">
        <v>1358</v>
      </c>
      <c r="C529" s="2" t="s">
        <v>1336</v>
      </c>
      <c r="D529" s="2" t="s">
        <v>1359</v>
      </c>
      <c r="E529" s="2" t="s">
        <v>1357</v>
      </c>
      <c r="F529" s="2" t="s">
        <v>125</v>
      </c>
      <c r="G529" s="2" t="s">
        <v>160</v>
      </c>
      <c r="H529" s="2"/>
      <c r="I529" s="2"/>
      <c r="J529" s="2" t="s">
        <v>19</v>
      </c>
      <c r="K529" s="2"/>
      <c r="L529" s="2" t="s">
        <v>474</v>
      </c>
    </row>
    <row r="530" customFormat="false" ht="13.35" hidden="false" customHeight="true" outlineLevel="0" collapsed="false">
      <c r="A530" s="5" t="str">
        <f aca="false">HYPERLINK("https://www.fabsurplus.com/sdi_catalog/salesItemDetails.do?id=100628")</f>
        <v>https://www.fabsurplus.com/sdi_catalog/salesItemDetails.do?id=100628</v>
      </c>
      <c r="B530" s="5" t="s">
        <v>1360</v>
      </c>
      <c r="C530" s="5" t="s">
        <v>1336</v>
      </c>
      <c r="D530" s="5" t="s">
        <v>1361</v>
      </c>
      <c r="E530" s="5" t="s">
        <v>1357</v>
      </c>
      <c r="F530" s="5" t="s">
        <v>58</v>
      </c>
      <c r="G530" s="5" t="s">
        <v>160</v>
      </c>
      <c r="H530" s="5"/>
      <c r="I530" s="5"/>
      <c r="J530" s="5" t="s">
        <v>19</v>
      </c>
      <c r="K530" s="5"/>
      <c r="L530" s="5" t="s">
        <v>474</v>
      </c>
    </row>
    <row r="531" customFormat="false" ht="13.35" hidden="false" customHeight="true" outlineLevel="0" collapsed="false">
      <c r="A531" s="2" t="str">
        <f aca="false">HYPERLINK("https://www.fabsurplus.com/sdi_catalog/salesItemDetails.do?id=102498")</f>
        <v>https://www.fabsurplus.com/sdi_catalog/salesItemDetails.do?id=102498</v>
      </c>
      <c r="B531" s="2" t="s">
        <v>1362</v>
      </c>
      <c r="C531" s="2" t="s">
        <v>1336</v>
      </c>
      <c r="D531" s="2" t="s">
        <v>1363</v>
      </c>
      <c r="E531" s="2" t="s">
        <v>1357</v>
      </c>
      <c r="F531" s="2" t="s">
        <v>16</v>
      </c>
      <c r="G531" s="2"/>
      <c r="H531" s="2" t="s">
        <v>18</v>
      </c>
      <c r="I531" s="3" t="n">
        <v>41821</v>
      </c>
      <c r="J531" s="2" t="s">
        <v>19</v>
      </c>
      <c r="K531" s="2" t="s">
        <v>20</v>
      </c>
      <c r="L531" s="4" t="s">
        <v>1364</v>
      </c>
    </row>
    <row r="532" customFormat="false" ht="13.35" hidden="false" customHeight="true" outlineLevel="0" collapsed="false">
      <c r="A532" s="5" t="str">
        <f aca="false">HYPERLINK("https://www.fabsurplus.com/sdi_catalog/salesItemDetails.do?id=102504")</f>
        <v>https://www.fabsurplus.com/sdi_catalog/salesItemDetails.do?id=102504</v>
      </c>
      <c r="B532" s="5" t="s">
        <v>1365</v>
      </c>
      <c r="C532" s="5" t="s">
        <v>1336</v>
      </c>
      <c r="D532" s="5" t="s">
        <v>1366</v>
      </c>
      <c r="E532" s="5" t="s">
        <v>1367</v>
      </c>
      <c r="F532" s="5" t="s">
        <v>16</v>
      </c>
      <c r="G532" s="5"/>
      <c r="H532" s="5" t="s">
        <v>18</v>
      </c>
      <c r="I532" s="6" t="n">
        <v>42887</v>
      </c>
      <c r="J532" s="5" t="s">
        <v>19</v>
      </c>
      <c r="K532" s="5" t="s">
        <v>20</v>
      </c>
      <c r="L532" s="7" t="s">
        <v>1368</v>
      </c>
    </row>
    <row r="533" customFormat="false" ht="13.35" hidden="false" customHeight="true" outlineLevel="0" collapsed="false">
      <c r="A533" s="2" t="str">
        <f aca="false">HYPERLINK("https://www.fabsurplus.com/sdi_catalog/salesItemDetails.do?id=97102")</f>
        <v>https://www.fabsurplus.com/sdi_catalog/salesItemDetails.do?id=97102</v>
      </c>
      <c r="B533" s="2" t="s">
        <v>1369</v>
      </c>
      <c r="C533" s="2" t="s">
        <v>1336</v>
      </c>
      <c r="D533" s="2" t="s">
        <v>1370</v>
      </c>
      <c r="E533" s="2" t="s">
        <v>1371</v>
      </c>
      <c r="F533" s="2" t="s">
        <v>16</v>
      </c>
      <c r="G533" s="2" t="s">
        <v>160</v>
      </c>
      <c r="H533" s="2" t="s">
        <v>18</v>
      </c>
      <c r="I533" s="3" t="n">
        <v>39965</v>
      </c>
      <c r="J533" s="2" t="s">
        <v>19</v>
      </c>
      <c r="K533" s="2" t="s">
        <v>20</v>
      </c>
      <c r="L533" s="2"/>
    </row>
    <row r="534" customFormat="false" ht="13.35" hidden="false" customHeight="true" outlineLevel="0" collapsed="false">
      <c r="A534" s="2" t="str">
        <f aca="false">HYPERLINK("https://www.fabsurplus.com/sdi_catalog/salesItemDetails.do?id=83605")</f>
        <v>https://www.fabsurplus.com/sdi_catalog/salesItemDetails.do?id=83605</v>
      </c>
      <c r="B534" s="2" t="s">
        <v>1372</v>
      </c>
      <c r="C534" s="2" t="s">
        <v>1336</v>
      </c>
      <c r="D534" s="2" t="s">
        <v>1373</v>
      </c>
      <c r="E534" s="2" t="s">
        <v>1374</v>
      </c>
      <c r="F534" s="2" t="s">
        <v>16</v>
      </c>
      <c r="G534" s="2"/>
      <c r="H534" s="2"/>
      <c r="I534" s="2"/>
      <c r="J534" s="2" t="s">
        <v>19</v>
      </c>
      <c r="K534" s="2"/>
      <c r="L534" s="2"/>
    </row>
    <row r="535" customFormat="false" ht="13.35" hidden="false" customHeight="true" outlineLevel="0" collapsed="false">
      <c r="A535" s="5" t="str">
        <f aca="false">HYPERLINK("https://www.fabsurplus.com/sdi_catalog/salesItemDetails.do?id=102682")</f>
        <v>https://www.fabsurplus.com/sdi_catalog/salesItemDetails.do?id=102682</v>
      </c>
      <c r="B535" s="5" t="s">
        <v>1375</v>
      </c>
      <c r="C535" s="5" t="s">
        <v>1336</v>
      </c>
      <c r="D535" s="5" t="s">
        <v>1376</v>
      </c>
      <c r="E535" s="5" t="s">
        <v>1377</v>
      </c>
      <c r="F535" s="5" t="s">
        <v>16</v>
      </c>
      <c r="G535" s="5" t="s">
        <v>17</v>
      </c>
      <c r="H535" s="5"/>
      <c r="I535" s="6" t="n">
        <v>39814</v>
      </c>
      <c r="J535" s="5" t="s">
        <v>19</v>
      </c>
      <c r="K535" s="5"/>
      <c r="L535" s="7" t="s">
        <v>1378</v>
      </c>
    </row>
    <row r="536" customFormat="false" ht="13.35" hidden="false" customHeight="true" outlineLevel="0" collapsed="false">
      <c r="A536" s="5" t="str">
        <f aca="false">HYPERLINK("https://www.fabsurplus.com/sdi_catalog/salesItemDetails.do?id=102135")</f>
        <v>https://www.fabsurplus.com/sdi_catalog/salesItemDetails.do?id=102135</v>
      </c>
      <c r="B536" s="5" t="s">
        <v>1379</v>
      </c>
      <c r="C536" s="5" t="s">
        <v>1336</v>
      </c>
      <c r="D536" s="5" t="s">
        <v>1376</v>
      </c>
      <c r="E536" s="5" t="s">
        <v>1380</v>
      </c>
      <c r="F536" s="5" t="s">
        <v>16</v>
      </c>
      <c r="G536" s="5" t="s">
        <v>17</v>
      </c>
      <c r="H536" s="5"/>
      <c r="I536" s="6" t="n">
        <v>41061</v>
      </c>
      <c r="J536" s="5" t="s">
        <v>19</v>
      </c>
      <c r="K536" s="5"/>
      <c r="L536" s="5"/>
    </row>
    <row r="537" customFormat="false" ht="13.35" hidden="false" customHeight="true" outlineLevel="0" collapsed="false">
      <c r="A537" s="5" t="str">
        <f aca="false">HYPERLINK("https://www.fabsurplus.com/sdi_catalog/salesItemDetails.do?id=103069")</f>
        <v>https://www.fabsurplus.com/sdi_catalog/salesItemDetails.do?id=103069</v>
      </c>
      <c r="B537" s="5" t="s">
        <v>1381</v>
      </c>
      <c r="C537" s="5" t="s">
        <v>1336</v>
      </c>
      <c r="D537" s="5" t="s">
        <v>1382</v>
      </c>
      <c r="E537" s="5" t="s">
        <v>1383</v>
      </c>
      <c r="F537" s="5" t="s">
        <v>16</v>
      </c>
      <c r="G537" s="5" t="s">
        <v>658</v>
      </c>
      <c r="H537" s="5"/>
      <c r="I537" s="6" t="n">
        <v>42522</v>
      </c>
      <c r="J537" s="5" t="s">
        <v>19</v>
      </c>
      <c r="K537" s="5"/>
      <c r="L537" s="7" t="s">
        <v>1384</v>
      </c>
    </row>
    <row r="538" customFormat="false" ht="13.35" hidden="false" customHeight="true" outlineLevel="0" collapsed="false">
      <c r="A538" s="2" t="str">
        <f aca="false">HYPERLINK("https://www.fabsurplus.com/sdi_catalog/salesItemDetails.do?id=102683")</f>
        <v>https://www.fabsurplus.com/sdi_catalog/salesItemDetails.do?id=102683</v>
      </c>
      <c r="B538" s="2" t="s">
        <v>1385</v>
      </c>
      <c r="C538" s="2" t="s">
        <v>1336</v>
      </c>
      <c r="D538" s="2" t="s">
        <v>1386</v>
      </c>
      <c r="E538" s="2" t="s">
        <v>1387</v>
      </c>
      <c r="F538" s="2" t="s">
        <v>16</v>
      </c>
      <c r="G538" s="2" t="s">
        <v>17</v>
      </c>
      <c r="H538" s="2"/>
      <c r="I538" s="3" t="n">
        <v>39203</v>
      </c>
      <c r="J538" s="2" t="s">
        <v>19</v>
      </c>
      <c r="K538" s="2"/>
      <c r="L538" s="4" t="s">
        <v>1388</v>
      </c>
    </row>
    <row r="539" customFormat="false" ht="13.35" hidden="false" customHeight="true" outlineLevel="0" collapsed="false">
      <c r="A539" s="5" t="str">
        <f aca="false">HYPERLINK("https://www.fabsurplus.com/sdi_catalog/salesItemDetails.do?id=90363")</f>
        <v>https://www.fabsurplus.com/sdi_catalog/salesItemDetails.do?id=90363</v>
      </c>
      <c r="B539" s="5" t="s">
        <v>1389</v>
      </c>
      <c r="C539" s="5" t="s">
        <v>1336</v>
      </c>
      <c r="D539" s="5" t="s">
        <v>1390</v>
      </c>
      <c r="E539" s="5" t="s">
        <v>1391</v>
      </c>
      <c r="F539" s="5" t="s">
        <v>16</v>
      </c>
      <c r="G539" s="5" t="s">
        <v>36</v>
      </c>
      <c r="H539" s="5" t="s">
        <v>18</v>
      </c>
      <c r="I539" s="5"/>
      <c r="J539" s="5" t="s">
        <v>19</v>
      </c>
      <c r="K539" s="5" t="s">
        <v>20</v>
      </c>
      <c r="L539" s="7" t="s">
        <v>1392</v>
      </c>
    </row>
    <row r="540" customFormat="false" ht="13.35" hidden="false" customHeight="true" outlineLevel="0" collapsed="false">
      <c r="A540" s="5" t="str">
        <f aca="false">HYPERLINK("https://www.fabsurplus.com/sdi_catalog/salesItemDetails.do?id=92349")</f>
        <v>https://www.fabsurplus.com/sdi_catalog/salesItemDetails.do?id=92349</v>
      </c>
      <c r="B540" s="5" t="s">
        <v>1393</v>
      </c>
      <c r="C540" s="5" t="s">
        <v>1336</v>
      </c>
      <c r="D540" s="5" t="s">
        <v>1394</v>
      </c>
      <c r="E540" s="5" t="s">
        <v>1395</v>
      </c>
      <c r="F540" s="5" t="s">
        <v>16</v>
      </c>
      <c r="G540" s="5" t="s">
        <v>17</v>
      </c>
      <c r="H540" s="5" t="s">
        <v>26</v>
      </c>
      <c r="I540" s="6" t="n">
        <v>39234</v>
      </c>
      <c r="J540" s="5" t="s">
        <v>19</v>
      </c>
      <c r="K540" s="5" t="s">
        <v>20</v>
      </c>
      <c r="L540" s="7" t="s">
        <v>1396</v>
      </c>
    </row>
    <row r="541" customFormat="false" ht="13.35" hidden="false" customHeight="true" outlineLevel="0" collapsed="false">
      <c r="A541" s="2" t="str">
        <f aca="false">HYPERLINK("https://www.fabsurplus.com/sdi_catalog/salesItemDetails.do?id=102136")</f>
        <v>https://www.fabsurplus.com/sdi_catalog/salesItemDetails.do?id=102136</v>
      </c>
      <c r="B541" s="2" t="s">
        <v>1397</v>
      </c>
      <c r="C541" s="2" t="s">
        <v>1336</v>
      </c>
      <c r="D541" s="2" t="s">
        <v>1394</v>
      </c>
      <c r="E541" s="2" t="s">
        <v>1398</v>
      </c>
      <c r="F541" s="2" t="s">
        <v>16</v>
      </c>
      <c r="G541" s="2" t="s">
        <v>17</v>
      </c>
      <c r="H541" s="2"/>
      <c r="I541" s="3" t="n">
        <v>40330</v>
      </c>
      <c r="J541" s="2" t="s">
        <v>19</v>
      </c>
      <c r="K541" s="2"/>
      <c r="L541" s="2"/>
    </row>
    <row r="542" customFormat="false" ht="13.35" hidden="false" customHeight="true" outlineLevel="0" collapsed="false">
      <c r="A542" s="5" t="str">
        <f aca="false">HYPERLINK("https://www.fabsurplus.com/sdi_catalog/salesItemDetails.do?id=83603")</f>
        <v>https://www.fabsurplus.com/sdi_catalog/salesItemDetails.do?id=83603</v>
      </c>
      <c r="B542" s="5" t="s">
        <v>1399</v>
      </c>
      <c r="C542" s="5" t="s">
        <v>1336</v>
      </c>
      <c r="D542" s="5" t="s">
        <v>1400</v>
      </c>
      <c r="E542" s="5" t="s">
        <v>1401</v>
      </c>
      <c r="F542" s="5" t="s">
        <v>16</v>
      </c>
      <c r="G542" s="5"/>
      <c r="H542" s="5"/>
      <c r="I542" s="5"/>
      <c r="J542" s="5" t="s">
        <v>19</v>
      </c>
      <c r="K542" s="5"/>
      <c r="L542" s="5"/>
    </row>
    <row r="543" customFormat="false" ht="13.35" hidden="false" customHeight="true" outlineLevel="0" collapsed="false">
      <c r="A543" s="2" t="str">
        <f aca="false">HYPERLINK("https://www.fabsurplus.com/sdi_catalog/salesItemDetails.do?id=102948")</f>
        <v>https://www.fabsurplus.com/sdi_catalog/salesItemDetails.do?id=102948</v>
      </c>
      <c r="B543" s="2" t="s">
        <v>1402</v>
      </c>
      <c r="C543" s="2" t="s">
        <v>1336</v>
      </c>
      <c r="D543" s="2" t="s">
        <v>1403</v>
      </c>
      <c r="E543" s="2" t="s">
        <v>1404</v>
      </c>
      <c r="F543" s="2" t="s">
        <v>16</v>
      </c>
      <c r="G543" s="2" t="s">
        <v>499</v>
      </c>
      <c r="H543" s="2"/>
      <c r="I543" s="3" t="n">
        <v>39692</v>
      </c>
      <c r="J543" s="2" t="s">
        <v>19</v>
      </c>
      <c r="K543" s="2"/>
      <c r="L543" s="2" t="s">
        <v>1405</v>
      </c>
    </row>
    <row r="544" customFormat="false" ht="13.35" hidden="false" customHeight="true" outlineLevel="0" collapsed="false">
      <c r="A544" s="2" t="str">
        <f aca="false">HYPERLINK("https://www.fabsurplus.com/sdi_catalog/salesItemDetails.do?id=102625")</f>
        <v>https://www.fabsurplus.com/sdi_catalog/salesItemDetails.do?id=102625</v>
      </c>
      <c r="B544" s="2" t="s">
        <v>1406</v>
      </c>
      <c r="C544" s="2" t="s">
        <v>1336</v>
      </c>
      <c r="D544" s="2" t="s">
        <v>1407</v>
      </c>
      <c r="E544" s="2" t="s">
        <v>1357</v>
      </c>
      <c r="F544" s="2" t="s">
        <v>16</v>
      </c>
      <c r="G544" s="2"/>
      <c r="H544" s="2" t="s">
        <v>18</v>
      </c>
      <c r="I544" s="3" t="n">
        <v>41426</v>
      </c>
      <c r="J544" s="2" t="s">
        <v>403</v>
      </c>
      <c r="K544" s="2"/>
      <c r="L544" s="2" t="s">
        <v>1408</v>
      </c>
    </row>
    <row r="545" customFormat="false" ht="13.35" hidden="false" customHeight="true" outlineLevel="0" collapsed="false">
      <c r="A545" s="2" t="str">
        <f aca="false">HYPERLINK("https://www.fabsurplus.com/sdi_catalog/salesItemDetails.do?id=83602")</f>
        <v>https://www.fabsurplus.com/sdi_catalog/salesItemDetails.do?id=83602</v>
      </c>
      <c r="B545" s="2" t="s">
        <v>1409</v>
      </c>
      <c r="C545" s="2" t="s">
        <v>1336</v>
      </c>
      <c r="D545" s="2" t="s">
        <v>1410</v>
      </c>
      <c r="E545" s="2" t="s">
        <v>1411</v>
      </c>
      <c r="F545" s="2" t="s">
        <v>16</v>
      </c>
      <c r="G545" s="2"/>
      <c r="H545" s="2"/>
      <c r="I545" s="2"/>
      <c r="J545" s="2" t="s">
        <v>19</v>
      </c>
      <c r="K545" s="2"/>
      <c r="L545" s="2"/>
    </row>
    <row r="546" customFormat="false" ht="13.35" hidden="false" customHeight="true" outlineLevel="0" collapsed="false">
      <c r="A546" s="2" t="str">
        <f aca="false">HYPERLINK("https://www.fabsurplus.com/sdi_catalog/salesItemDetails.do?id=83607")</f>
        <v>https://www.fabsurplus.com/sdi_catalog/salesItemDetails.do?id=83607</v>
      </c>
      <c r="B546" s="2" t="s">
        <v>1412</v>
      </c>
      <c r="C546" s="2" t="s">
        <v>1336</v>
      </c>
      <c r="D546" s="2" t="s">
        <v>1410</v>
      </c>
      <c r="E546" s="2" t="s">
        <v>1411</v>
      </c>
      <c r="F546" s="2" t="s">
        <v>16</v>
      </c>
      <c r="G546" s="2"/>
      <c r="H546" s="2"/>
      <c r="I546" s="2"/>
      <c r="J546" s="2" t="s">
        <v>19</v>
      </c>
      <c r="K546" s="2"/>
      <c r="L546" s="2"/>
    </row>
    <row r="547" customFormat="false" ht="13.35" hidden="false" customHeight="true" outlineLevel="0" collapsed="false">
      <c r="A547" s="2" t="str">
        <f aca="false">HYPERLINK("https://www.fabsurplus.com/sdi_catalog/salesItemDetails.do?id=98443")</f>
        <v>https://www.fabsurplus.com/sdi_catalog/salesItemDetails.do?id=98443</v>
      </c>
      <c r="B547" s="2" t="s">
        <v>1413</v>
      </c>
      <c r="C547" s="2" t="s">
        <v>1336</v>
      </c>
      <c r="D547" s="2" t="s">
        <v>1414</v>
      </c>
      <c r="E547" s="2" t="s">
        <v>1415</v>
      </c>
      <c r="F547" s="2" t="s">
        <v>16</v>
      </c>
      <c r="G547" s="2" t="s">
        <v>1416</v>
      </c>
      <c r="H547" s="2"/>
      <c r="I547" s="2"/>
      <c r="J547" s="2" t="s">
        <v>19</v>
      </c>
      <c r="K547" s="2"/>
      <c r="L547" s="2" t="s">
        <v>1417</v>
      </c>
    </row>
    <row r="548" customFormat="false" ht="13.35" hidden="false" customHeight="true" outlineLevel="0" collapsed="false">
      <c r="A548" s="5" t="str">
        <f aca="false">HYPERLINK("https://www.fabsurplus.com/sdi_catalog/salesItemDetails.do?id=102626")</f>
        <v>https://www.fabsurplus.com/sdi_catalog/salesItemDetails.do?id=102626</v>
      </c>
      <c r="B548" s="5" t="s">
        <v>1418</v>
      </c>
      <c r="C548" s="5" t="s">
        <v>1336</v>
      </c>
      <c r="D548" s="5" t="s">
        <v>1419</v>
      </c>
      <c r="E548" s="5" t="s">
        <v>1420</v>
      </c>
      <c r="F548" s="5" t="s">
        <v>16</v>
      </c>
      <c r="G548" s="5"/>
      <c r="H548" s="5" t="s">
        <v>1421</v>
      </c>
      <c r="I548" s="6" t="n">
        <v>41061</v>
      </c>
      <c r="J548" s="5" t="s">
        <v>19</v>
      </c>
      <c r="K548" s="5"/>
      <c r="L548" s="5" t="s">
        <v>177</v>
      </c>
    </row>
    <row r="549" customFormat="false" ht="13.35" hidden="false" customHeight="true" outlineLevel="0" collapsed="false">
      <c r="A549" s="5" t="str">
        <f aca="false">HYPERLINK("https://www.fabsurplus.com/sdi_catalog/salesItemDetails.do?id=83609")</f>
        <v>https://www.fabsurplus.com/sdi_catalog/salesItemDetails.do?id=83609</v>
      </c>
      <c r="B549" s="5" t="s">
        <v>1422</v>
      </c>
      <c r="C549" s="5" t="s">
        <v>1336</v>
      </c>
      <c r="D549" s="5" t="s">
        <v>1423</v>
      </c>
      <c r="E549" s="5" t="s">
        <v>1424</v>
      </c>
      <c r="F549" s="5" t="s">
        <v>16</v>
      </c>
      <c r="G549" s="5"/>
      <c r="H549" s="5"/>
      <c r="I549" s="5"/>
      <c r="J549" s="5" t="s">
        <v>19</v>
      </c>
      <c r="K549" s="5"/>
      <c r="L549" s="5"/>
    </row>
    <row r="550" customFormat="false" ht="13.35" hidden="false" customHeight="true" outlineLevel="0" collapsed="false">
      <c r="A550" s="2" t="str">
        <f aca="false">HYPERLINK("https://www.fabsurplus.com/sdi_catalog/salesItemDetails.do?id=83611")</f>
        <v>https://www.fabsurplus.com/sdi_catalog/salesItemDetails.do?id=83611</v>
      </c>
      <c r="B550" s="2" t="s">
        <v>1425</v>
      </c>
      <c r="C550" s="2" t="s">
        <v>1336</v>
      </c>
      <c r="D550" s="2" t="s">
        <v>1426</v>
      </c>
      <c r="E550" s="2" t="s">
        <v>1427</v>
      </c>
      <c r="F550" s="2" t="s">
        <v>16</v>
      </c>
      <c r="G550" s="2"/>
      <c r="H550" s="2"/>
      <c r="I550" s="2"/>
      <c r="J550" s="2" t="s">
        <v>19</v>
      </c>
      <c r="K550" s="2"/>
      <c r="L550" s="2"/>
    </row>
    <row r="551" customFormat="false" ht="13.35" hidden="false" customHeight="true" outlineLevel="0" collapsed="false">
      <c r="A551" s="2" t="str">
        <f aca="false">HYPERLINK("https://www.fabsurplus.com/sdi_catalog/salesItemDetails.do?id=83610")</f>
        <v>https://www.fabsurplus.com/sdi_catalog/salesItemDetails.do?id=83610</v>
      </c>
      <c r="B551" s="2" t="s">
        <v>1428</v>
      </c>
      <c r="C551" s="2" t="s">
        <v>1336</v>
      </c>
      <c r="D551" s="2" t="s">
        <v>1429</v>
      </c>
      <c r="E551" s="2" t="s">
        <v>1430</v>
      </c>
      <c r="F551" s="2" t="s">
        <v>16</v>
      </c>
      <c r="G551" s="2"/>
      <c r="H551" s="2"/>
      <c r="I551" s="2"/>
      <c r="J551" s="2" t="s">
        <v>19</v>
      </c>
      <c r="K551" s="2"/>
      <c r="L551" s="2"/>
    </row>
    <row r="552" customFormat="false" ht="13.35" hidden="false" customHeight="true" outlineLevel="0" collapsed="false">
      <c r="A552" s="5" t="str">
        <f aca="false">HYPERLINK("https://www.fabsurplus.com/sdi_catalog/salesItemDetails.do?id=98444")</f>
        <v>https://www.fabsurplus.com/sdi_catalog/salesItemDetails.do?id=98444</v>
      </c>
      <c r="B552" s="5" t="s">
        <v>1431</v>
      </c>
      <c r="C552" s="5" t="s">
        <v>1336</v>
      </c>
      <c r="D552" s="5" t="s">
        <v>1432</v>
      </c>
      <c r="E552" s="5" t="s">
        <v>1415</v>
      </c>
      <c r="F552" s="5" t="s">
        <v>16</v>
      </c>
      <c r="G552" s="5" t="s">
        <v>1416</v>
      </c>
      <c r="H552" s="5"/>
      <c r="I552" s="5"/>
      <c r="J552" s="5" t="s">
        <v>19</v>
      </c>
      <c r="K552" s="5"/>
      <c r="L552" s="5" t="s">
        <v>1417</v>
      </c>
    </row>
    <row r="553" customFormat="false" ht="13.35" hidden="false" customHeight="true" outlineLevel="0" collapsed="false">
      <c r="A553" s="5" t="str">
        <f aca="false">HYPERLINK("https://www.fabsurplus.com/sdi_catalog/salesItemDetails.do?id=83601")</f>
        <v>https://www.fabsurplus.com/sdi_catalog/salesItemDetails.do?id=83601</v>
      </c>
      <c r="B553" s="5" t="s">
        <v>1433</v>
      </c>
      <c r="C553" s="5" t="s">
        <v>1336</v>
      </c>
      <c r="D553" s="5"/>
      <c r="E553" s="5" t="s">
        <v>1434</v>
      </c>
      <c r="F553" s="5" t="s">
        <v>16</v>
      </c>
      <c r="G553" s="5" t="s">
        <v>160</v>
      </c>
      <c r="H553" s="5" t="s">
        <v>18</v>
      </c>
      <c r="I553" s="5"/>
      <c r="J553" s="5" t="s">
        <v>19</v>
      </c>
      <c r="K553" s="5" t="s">
        <v>20</v>
      </c>
      <c r="L553" s="5"/>
    </row>
    <row r="554" customFormat="false" ht="13.35" hidden="false" customHeight="true" outlineLevel="0" collapsed="false">
      <c r="A554" s="5" t="str">
        <f aca="false">HYPERLINK("https://www.fabsurplus.com/sdi_catalog/salesItemDetails.do?id=83606")</f>
        <v>https://www.fabsurplus.com/sdi_catalog/salesItemDetails.do?id=83606</v>
      </c>
      <c r="B554" s="5" t="s">
        <v>1435</v>
      </c>
      <c r="C554" s="5" t="s">
        <v>1336</v>
      </c>
      <c r="D554" s="5"/>
      <c r="E554" s="5" t="s">
        <v>1434</v>
      </c>
      <c r="F554" s="5" t="s">
        <v>16</v>
      </c>
      <c r="G554" s="5"/>
      <c r="H554" s="5"/>
      <c r="I554" s="5"/>
      <c r="J554" s="5" t="s">
        <v>19</v>
      </c>
      <c r="K554" s="5"/>
      <c r="L554" s="5"/>
    </row>
    <row r="555" customFormat="false" ht="13.35" hidden="false" customHeight="true" outlineLevel="0" collapsed="false">
      <c r="A555" s="2" t="str">
        <f aca="false">HYPERLINK("https://www.fabsurplus.com/sdi_catalog/salesItemDetails.do?id=101639")</f>
        <v>https://www.fabsurplus.com/sdi_catalog/salesItemDetails.do?id=101639</v>
      </c>
      <c r="B555" s="2" t="s">
        <v>1436</v>
      </c>
      <c r="C555" s="2" t="s">
        <v>1437</v>
      </c>
      <c r="D555" s="2" t="s">
        <v>1438</v>
      </c>
      <c r="E555" s="2" t="s">
        <v>1439</v>
      </c>
      <c r="F555" s="2" t="s">
        <v>16</v>
      </c>
      <c r="G555" s="2" t="s">
        <v>154</v>
      </c>
      <c r="H555" s="2"/>
      <c r="I555" s="2"/>
      <c r="J555" s="2" t="s">
        <v>19</v>
      </c>
      <c r="K555" s="2"/>
      <c r="L555" s="2"/>
    </row>
    <row r="556" customFormat="false" ht="13.35" hidden="false" customHeight="true" outlineLevel="0" collapsed="false">
      <c r="A556" s="2" t="str">
        <f aca="false">HYPERLINK("https://www.fabsurplus.com/sdi_catalog/salesItemDetails.do?id=102488")</f>
        <v>https://www.fabsurplus.com/sdi_catalog/salesItemDetails.do?id=102488</v>
      </c>
      <c r="B556" s="2" t="s">
        <v>1440</v>
      </c>
      <c r="C556" s="2" t="s">
        <v>1441</v>
      </c>
      <c r="D556" s="2" t="s">
        <v>1442</v>
      </c>
      <c r="E556" s="2" t="s">
        <v>1443</v>
      </c>
      <c r="F556" s="2" t="s">
        <v>16</v>
      </c>
      <c r="G556" s="2" t="s">
        <v>154</v>
      </c>
      <c r="H556" s="2" t="s">
        <v>978</v>
      </c>
      <c r="I556" s="2"/>
      <c r="J556" s="2" t="s">
        <v>19</v>
      </c>
      <c r="K556" s="2" t="s">
        <v>20</v>
      </c>
      <c r="L556" s="2"/>
    </row>
    <row r="557" customFormat="false" ht="13.35" hidden="false" customHeight="true" outlineLevel="0" collapsed="false">
      <c r="A557" s="2" t="str">
        <f aca="false">HYPERLINK("https://www.fabsurplus.com/sdi_catalog/salesItemDetails.do?id=101640")</f>
        <v>https://www.fabsurplus.com/sdi_catalog/salesItemDetails.do?id=101640</v>
      </c>
      <c r="B557" s="2" t="s">
        <v>1444</v>
      </c>
      <c r="C557" s="2" t="s">
        <v>1441</v>
      </c>
      <c r="D557" s="2" t="s">
        <v>1445</v>
      </c>
      <c r="E557" s="2" t="s">
        <v>1446</v>
      </c>
      <c r="F557" s="2" t="s">
        <v>16</v>
      </c>
      <c r="G557" s="2" t="s">
        <v>154</v>
      </c>
      <c r="H557" s="2"/>
      <c r="I557" s="2"/>
      <c r="J557" s="2" t="s">
        <v>19</v>
      </c>
      <c r="K557" s="2"/>
      <c r="L557" s="2"/>
    </row>
    <row r="558" customFormat="false" ht="13.35" hidden="false" customHeight="true" outlineLevel="0" collapsed="false">
      <c r="A558" s="5" t="str">
        <f aca="false">HYPERLINK("https://www.fabsurplus.com/sdi_catalog/salesItemDetails.do?id=101641")</f>
        <v>https://www.fabsurplus.com/sdi_catalog/salesItemDetails.do?id=101641</v>
      </c>
      <c r="B558" s="5" t="s">
        <v>1447</v>
      </c>
      <c r="C558" s="5" t="s">
        <v>1441</v>
      </c>
      <c r="D558" s="5" t="s">
        <v>1448</v>
      </c>
      <c r="E558" s="5" t="s">
        <v>1446</v>
      </c>
      <c r="F558" s="5" t="s">
        <v>16</v>
      </c>
      <c r="G558" s="5" t="s">
        <v>154</v>
      </c>
      <c r="H558" s="5"/>
      <c r="I558" s="5"/>
      <c r="J558" s="5" t="s">
        <v>19</v>
      </c>
      <c r="K558" s="5"/>
      <c r="L558" s="5"/>
    </row>
    <row r="559" customFormat="false" ht="13.35" hidden="false" customHeight="true" outlineLevel="0" collapsed="false">
      <c r="A559" s="2" t="str">
        <f aca="false">HYPERLINK("https://www.fabsurplus.com/sdi_catalog/salesItemDetails.do?id=101791")</f>
        <v>https://www.fabsurplus.com/sdi_catalog/salesItemDetails.do?id=101791</v>
      </c>
      <c r="B559" s="2" t="s">
        <v>1449</v>
      </c>
      <c r="C559" s="2" t="s">
        <v>1441</v>
      </c>
      <c r="D559" s="2" t="s">
        <v>1450</v>
      </c>
      <c r="E559" s="2" t="s">
        <v>1451</v>
      </c>
      <c r="F559" s="2" t="s">
        <v>125</v>
      </c>
      <c r="G559" s="2" t="s">
        <v>17</v>
      </c>
      <c r="H559" s="2"/>
      <c r="I559" s="2"/>
      <c r="J559" s="2" t="s">
        <v>47</v>
      </c>
      <c r="K559" s="2"/>
      <c r="L559" s="2"/>
    </row>
    <row r="560" customFormat="false" ht="13.35" hidden="false" customHeight="true" outlineLevel="0" collapsed="false">
      <c r="A560" s="2" t="str">
        <f aca="false">HYPERLINK("https://www.fabsurplus.com/sdi_catalog/salesItemDetails.do?id=102858")</f>
        <v>https://www.fabsurplus.com/sdi_catalog/salesItemDetails.do?id=102858</v>
      </c>
      <c r="B560" s="2" t="s">
        <v>1452</v>
      </c>
      <c r="C560" s="2" t="s">
        <v>1441</v>
      </c>
      <c r="D560" s="2" t="s">
        <v>1453</v>
      </c>
      <c r="E560" s="2" t="s">
        <v>1454</v>
      </c>
      <c r="F560" s="2" t="s">
        <v>16</v>
      </c>
      <c r="G560" s="2" t="s">
        <v>36</v>
      </c>
      <c r="H560" s="2"/>
      <c r="I560" s="2"/>
      <c r="J560" s="2" t="s">
        <v>19</v>
      </c>
      <c r="K560" s="2"/>
      <c r="L560" s="2" t="s">
        <v>1455</v>
      </c>
    </row>
    <row r="561" customFormat="false" ht="13.35" hidden="false" customHeight="true" outlineLevel="0" collapsed="false">
      <c r="A561" s="2" t="str">
        <f aca="false">HYPERLINK("https://www.fabsurplus.com/sdi_catalog/salesItemDetails.do?id=95949")</f>
        <v>https://www.fabsurplus.com/sdi_catalog/salesItemDetails.do?id=95949</v>
      </c>
      <c r="B561" s="2" t="s">
        <v>1456</v>
      </c>
      <c r="C561" s="2" t="s">
        <v>1441</v>
      </c>
      <c r="D561" s="2" t="s">
        <v>1457</v>
      </c>
      <c r="E561" s="2" t="s">
        <v>1458</v>
      </c>
      <c r="F561" s="2" t="s">
        <v>16</v>
      </c>
      <c r="G561" s="2" t="s">
        <v>17</v>
      </c>
      <c r="H561" s="2" t="s">
        <v>26</v>
      </c>
      <c r="I561" s="3" t="n">
        <v>38930</v>
      </c>
      <c r="J561" s="2" t="s">
        <v>19</v>
      </c>
      <c r="K561" s="2" t="s">
        <v>20</v>
      </c>
      <c r="L561" s="4" t="s">
        <v>1459</v>
      </c>
    </row>
    <row r="562" customFormat="false" ht="13.35" hidden="false" customHeight="true" outlineLevel="0" collapsed="false">
      <c r="A562" s="2" t="str">
        <f aca="false">HYPERLINK("https://www.fabsurplus.com/sdi_catalog/salesItemDetails.do?id=102137")</f>
        <v>https://www.fabsurplus.com/sdi_catalog/salesItemDetails.do?id=102137</v>
      </c>
      <c r="B562" s="2" t="s">
        <v>1460</v>
      </c>
      <c r="C562" s="2" t="s">
        <v>1441</v>
      </c>
      <c r="D562" s="2" t="s">
        <v>1461</v>
      </c>
      <c r="E562" s="2" t="s">
        <v>1462</v>
      </c>
      <c r="F562" s="2" t="s">
        <v>16</v>
      </c>
      <c r="G562" s="2" t="s">
        <v>17</v>
      </c>
      <c r="H562" s="2"/>
      <c r="I562" s="3" t="n">
        <v>38139</v>
      </c>
      <c r="J562" s="2" t="s">
        <v>19</v>
      </c>
      <c r="K562" s="2"/>
      <c r="L562" s="2"/>
    </row>
    <row r="563" customFormat="false" ht="13.35" hidden="false" customHeight="true" outlineLevel="0" collapsed="false">
      <c r="A563" s="5" t="str">
        <f aca="false">HYPERLINK("https://www.fabsurplus.com/sdi_catalog/salesItemDetails.do?id=102138")</f>
        <v>https://www.fabsurplus.com/sdi_catalog/salesItemDetails.do?id=102138</v>
      </c>
      <c r="B563" s="5" t="s">
        <v>1463</v>
      </c>
      <c r="C563" s="5" t="s">
        <v>1441</v>
      </c>
      <c r="D563" s="5" t="s">
        <v>1464</v>
      </c>
      <c r="E563" s="5" t="s">
        <v>1462</v>
      </c>
      <c r="F563" s="5" t="s">
        <v>16</v>
      </c>
      <c r="G563" s="5" t="s">
        <v>17</v>
      </c>
      <c r="H563" s="5"/>
      <c r="I563" s="6" t="n">
        <v>38139</v>
      </c>
      <c r="J563" s="5" t="s">
        <v>19</v>
      </c>
      <c r="K563" s="5"/>
      <c r="L563" s="5"/>
    </row>
    <row r="564" customFormat="false" ht="13.35" hidden="false" customHeight="true" outlineLevel="0" collapsed="false">
      <c r="A564" s="2" t="str">
        <f aca="false">HYPERLINK("https://www.fabsurplus.com/sdi_catalog/salesItemDetails.do?id=102139")</f>
        <v>https://www.fabsurplus.com/sdi_catalog/salesItemDetails.do?id=102139</v>
      </c>
      <c r="B564" s="2" t="s">
        <v>1465</v>
      </c>
      <c r="C564" s="2" t="s">
        <v>1441</v>
      </c>
      <c r="D564" s="2" t="s">
        <v>1464</v>
      </c>
      <c r="E564" s="2" t="s">
        <v>1462</v>
      </c>
      <c r="F564" s="2" t="s">
        <v>16</v>
      </c>
      <c r="G564" s="2" t="s">
        <v>17</v>
      </c>
      <c r="H564" s="2"/>
      <c r="I564" s="3" t="n">
        <v>38139</v>
      </c>
      <c r="J564" s="2" t="s">
        <v>19</v>
      </c>
      <c r="K564" s="2"/>
      <c r="L564" s="2"/>
    </row>
    <row r="565" customFormat="false" ht="13.35" hidden="false" customHeight="true" outlineLevel="0" collapsed="false">
      <c r="A565" s="5" t="str">
        <f aca="false">HYPERLINK("https://www.fabsurplus.com/sdi_catalog/salesItemDetails.do?id=101844")</f>
        <v>https://www.fabsurplus.com/sdi_catalog/salesItemDetails.do?id=101844</v>
      </c>
      <c r="B565" s="5" t="s">
        <v>1466</v>
      </c>
      <c r="C565" s="5" t="s">
        <v>1441</v>
      </c>
      <c r="D565" s="5" t="s">
        <v>1467</v>
      </c>
      <c r="E565" s="5" t="s">
        <v>1468</v>
      </c>
      <c r="F565" s="5" t="s">
        <v>16</v>
      </c>
      <c r="G565" s="5" t="s">
        <v>17</v>
      </c>
      <c r="H565" s="5" t="s">
        <v>26</v>
      </c>
      <c r="I565" s="6" t="n">
        <v>38961</v>
      </c>
      <c r="J565" s="5" t="s">
        <v>19</v>
      </c>
      <c r="K565" s="5" t="s">
        <v>20</v>
      </c>
      <c r="L565" s="7" t="s">
        <v>1469</v>
      </c>
    </row>
    <row r="566" customFormat="false" ht="13.35" hidden="false" customHeight="true" outlineLevel="0" collapsed="false">
      <c r="A566" s="5" t="str">
        <f aca="false">HYPERLINK("https://www.fabsurplus.com/sdi_catalog/salesItemDetails.do?id=102841")</f>
        <v>https://www.fabsurplus.com/sdi_catalog/salesItemDetails.do?id=102841</v>
      </c>
      <c r="B566" s="5" t="s">
        <v>1470</v>
      </c>
      <c r="C566" s="5" t="s">
        <v>1441</v>
      </c>
      <c r="D566" s="5" t="s">
        <v>1467</v>
      </c>
      <c r="E566" s="5" t="s">
        <v>1471</v>
      </c>
      <c r="F566" s="5" t="s">
        <v>16</v>
      </c>
      <c r="G566" s="5"/>
      <c r="H566" s="5" t="s">
        <v>26</v>
      </c>
      <c r="I566" s="5"/>
      <c r="J566" s="5" t="s">
        <v>47</v>
      </c>
      <c r="K566" s="5" t="s">
        <v>809</v>
      </c>
      <c r="L566" s="7" t="s">
        <v>1472</v>
      </c>
    </row>
    <row r="567" customFormat="false" ht="13.35" hidden="false" customHeight="true" outlineLevel="0" collapsed="false">
      <c r="A567" s="5" t="str">
        <f aca="false">HYPERLINK("https://www.fabsurplus.com/sdi_catalog/salesItemDetails.do?id=102859")</f>
        <v>https://www.fabsurplus.com/sdi_catalog/salesItemDetails.do?id=102859</v>
      </c>
      <c r="B567" s="5" t="s">
        <v>1473</v>
      </c>
      <c r="C567" s="5" t="s">
        <v>1441</v>
      </c>
      <c r="D567" s="5" t="s">
        <v>1467</v>
      </c>
      <c r="E567" s="5" t="s">
        <v>1474</v>
      </c>
      <c r="F567" s="5" t="s">
        <v>16</v>
      </c>
      <c r="G567" s="5" t="s">
        <v>17</v>
      </c>
      <c r="H567" s="5"/>
      <c r="I567" s="5"/>
      <c r="J567" s="5" t="s">
        <v>19</v>
      </c>
      <c r="K567" s="5"/>
      <c r="L567" s="5" t="s">
        <v>1475</v>
      </c>
    </row>
    <row r="568" customFormat="false" ht="13.35" hidden="false" customHeight="true" outlineLevel="0" collapsed="false">
      <c r="A568" s="5" t="str">
        <f aca="false">HYPERLINK("https://www.fabsurplus.com/sdi_catalog/salesItemDetails.do?id=102140")</f>
        <v>https://www.fabsurplus.com/sdi_catalog/salesItemDetails.do?id=102140</v>
      </c>
      <c r="B568" s="5" t="s">
        <v>1476</v>
      </c>
      <c r="C568" s="5" t="s">
        <v>1441</v>
      </c>
      <c r="D568" s="5" t="s">
        <v>1477</v>
      </c>
      <c r="E568" s="5" t="s">
        <v>1478</v>
      </c>
      <c r="F568" s="5" t="s">
        <v>16</v>
      </c>
      <c r="G568" s="5" t="s">
        <v>17</v>
      </c>
      <c r="H568" s="5" t="s">
        <v>26</v>
      </c>
      <c r="I568" s="6" t="n">
        <v>38869</v>
      </c>
      <c r="J568" s="5" t="s">
        <v>19</v>
      </c>
      <c r="K568" s="5" t="s">
        <v>20</v>
      </c>
      <c r="L568" s="5"/>
    </row>
    <row r="569" customFormat="false" ht="13.35" hidden="false" customHeight="true" outlineLevel="0" collapsed="false">
      <c r="A569" s="2" t="str">
        <f aca="false">HYPERLINK("https://www.fabsurplus.com/sdi_catalog/salesItemDetails.do?id=98265")</f>
        <v>https://www.fabsurplus.com/sdi_catalog/salesItemDetails.do?id=98265</v>
      </c>
      <c r="B569" s="2" t="s">
        <v>1479</v>
      </c>
      <c r="C569" s="2" t="s">
        <v>1441</v>
      </c>
      <c r="D569" s="2" t="s">
        <v>1480</v>
      </c>
      <c r="E569" s="2" t="s">
        <v>1481</v>
      </c>
      <c r="F569" s="2" t="s">
        <v>16</v>
      </c>
      <c r="G569" s="2" t="s">
        <v>17</v>
      </c>
      <c r="H569" s="2"/>
      <c r="I569" s="2"/>
      <c r="J569" s="2" t="s">
        <v>19</v>
      </c>
      <c r="K569" s="2"/>
      <c r="L569" s="2"/>
    </row>
    <row r="570" customFormat="false" ht="13.35" hidden="false" customHeight="true" outlineLevel="0" collapsed="false">
      <c r="A570" s="2" t="str">
        <f aca="false">HYPERLINK("https://www.fabsurplus.com/sdi_catalog/salesItemDetails.do?id=97046")</f>
        <v>https://www.fabsurplus.com/sdi_catalog/salesItemDetails.do?id=97046</v>
      </c>
      <c r="B570" s="2" t="s">
        <v>1482</v>
      </c>
      <c r="C570" s="2" t="s">
        <v>1441</v>
      </c>
      <c r="D570" s="2" t="s">
        <v>1483</v>
      </c>
      <c r="E570" s="2" t="s">
        <v>1484</v>
      </c>
      <c r="F570" s="2" t="s">
        <v>16</v>
      </c>
      <c r="G570" s="2" t="s">
        <v>17</v>
      </c>
      <c r="H570" s="2" t="s">
        <v>26</v>
      </c>
      <c r="I570" s="2"/>
      <c r="J570" s="2" t="s">
        <v>19</v>
      </c>
      <c r="K570" s="2" t="s">
        <v>20</v>
      </c>
      <c r="L570" s="4" t="s">
        <v>1485</v>
      </c>
    </row>
    <row r="571" customFormat="false" ht="13.35" hidden="false" customHeight="true" outlineLevel="0" collapsed="false">
      <c r="A571" s="5" t="str">
        <f aca="false">HYPERLINK("https://www.fabsurplus.com/sdi_catalog/salesItemDetails.do?id=103070")</f>
        <v>https://www.fabsurplus.com/sdi_catalog/salesItemDetails.do?id=103070</v>
      </c>
      <c r="B571" s="5" t="s">
        <v>1486</v>
      </c>
      <c r="C571" s="5" t="s">
        <v>1441</v>
      </c>
      <c r="D571" s="5" t="s">
        <v>1487</v>
      </c>
      <c r="E571" s="5" t="s">
        <v>1488</v>
      </c>
      <c r="F571" s="5" t="s">
        <v>16</v>
      </c>
      <c r="G571" s="5" t="s">
        <v>658</v>
      </c>
      <c r="H571" s="5"/>
      <c r="I571" s="5"/>
      <c r="J571" s="5" t="s">
        <v>19</v>
      </c>
      <c r="K571" s="5"/>
      <c r="L571" s="5"/>
    </row>
    <row r="572" customFormat="false" ht="13.35" hidden="false" customHeight="true" outlineLevel="0" collapsed="false">
      <c r="A572" s="5" t="str">
        <f aca="false">HYPERLINK("https://www.fabsurplus.com/sdi_catalog/salesItemDetails.do?id=87980")</f>
        <v>https://www.fabsurplus.com/sdi_catalog/salesItemDetails.do?id=87980</v>
      </c>
      <c r="B572" s="5" t="s">
        <v>1489</v>
      </c>
      <c r="C572" s="5" t="s">
        <v>1490</v>
      </c>
      <c r="D572" s="5" t="s">
        <v>1491</v>
      </c>
      <c r="E572" s="5" t="s">
        <v>87</v>
      </c>
      <c r="F572" s="5" t="s">
        <v>46</v>
      </c>
      <c r="G572" s="5" t="s">
        <v>88</v>
      </c>
      <c r="H572" s="5"/>
      <c r="I572" s="5"/>
      <c r="J572" s="5" t="s">
        <v>19</v>
      </c>
      <c r="K572" s="5"/>
      <c r="L572" s="5" t="s">
        <v>89</v>
      </c>
    </row>
    <row r="573" customFormat="false" ht="13.35" hidden="false" customHeight="true" outlineLevel="0" collapsed="false">
      <c r="A573" s="2" t="str">
        <f aca="false">HYPERLINK("https://www.fabsurplus.com/sdi_catalog/salesItemDetails.do?id=87981")</f>
        <v>https://www.fabsurplus.com/sdi_catalog/salesItemDetails.do?id=87981</v>
      </c>
      <c r="B573" s="2" t="s">
        <v>1492</v>
      </c>
      <c r="C573" s="2" t="s">
        <v>1490</v>
      </c>
      <c r="D573" s="2" t="s">
        <v>1493</v>
      </c>
      <c r="E573" s="2" t="s">
        <v>87</v>
      </c>
      <c r="F573" s="2" t="s">
        <v>16</v>
      </c>
      <c r="G573" s="2" t="s">
        <v>88</v>
      </c>
      <c r="H573" s="2"/>
      <c r="I573" s="2"/>
      <c r="J573" s="2" t="s">
        <v>19</v>
      </c>
      <c r="K573" s="2"/>
      <c r="L573" s="2" t="s">
        <v>89</v>
      </c>
    </row>
    <row r="574" customFormat="false" ht="13.35" hidden="false" customHeight="true" outlineLevel="0" collapsed="false">
      <c r="A574" s="2" t="str">
        <f aca="false">HYPERLINK("https://www.fabsurplus.com/sdi_catalog/salesItemDetails.do?id=103023")</f>
        <v>https://www.fabsurplus.com/sdi_catalog/salesItemDetails.do?id=103023</v>
      </c>
      <c r="B574" s="2" t="s">
        <v>1494</v>
      </c>
      <c r="C574" s="2" t="s">
        <v>1495</v>
      </c>
      <c r="D574" s="2" t="s">
        <v>1496</v>
      </c>
      <c r="E574" s="2" t="s">
        <v>1497</v>
      </c>
      <c r="F574" s="2" t="s">
        <v>16</v>
      </c>
      <c r="G574" s="2" t="s">
        <v>1498</v>
      </c>
      <c r="H574" s="2"/>
      <c r="I574" s="2"/>
      <c r="J574" s="2" t="s">
        <v>19</v>
      </c>
      <c r="K574" s="2"/>
      <c r="L574" s="4" t="s">
        <v>1499</v>
      </c>
    </row>
    <row r="575" customFormat="false" ht="13.35" hidden="false" customHeight="true" outlineLevel="0" collapsed="false">
      <c r="A575" s="2" t="str">
        <f aca="false">HYPERLINK("https://www.fabsurplus.com/sdi_catalog/salesItemDetails.do?id=87552")</f>
        <v>https://www.fabsurplus.com/sdi_catalog/salesItemDetails.do?id=87552</v>
      </c>
      <c r="B575" s="2" t="s">
        <v>1500</v>
      </c>
      <c r="C575" s="2" t="s">
        <v>1501</v>
      </c>
      <c r="D575" s="2" t="s">
        <v>1502</v>
      </c>
      <c r="E575" s="2" t="s">
        <v>1503</v>
      </c>
      <c r="F575" s="2" t="s">
        <v>16</v>
      </c>
      <c r="G575" s="2"/>
      <c r="H575" s="2"/>
      <c r="I575" s="2"/>
      <c r="J575" s="2" t="s">
        <v>19</v>
      </c>
      <c r="K575" s="2"/>
      <c r="L575" s="2"/>
    </row>
    <row r="576" customFormat="false" ht="13.35" hidden="false" customHeight="true" outlineLevel="0" collapsed="false">
      <c r="A576" s="2" t="str">
        <f aca="false">HYPERLINK("https://www.fabsurplus.com/sdi_catalog/salesItemDetails.do?id=102752")</f>
        <v>https://www.fabsurplus.com/sdi_catalog/salesItemDetails.do?id=102752</v>
      </c>
      <c r="B576" s="2" t="s">
        <v>1504</v>
      </c>
      <c r="C576" s="2" t="s">
        <v>1495</v>
      </c>
      <c r="D576" s="2" t="s">
        <v>1505</v>
      </c>
      <c r="E576" s="2" t="s">
        <v>1506</v>
      </c>
      <c r="F576" s="2" t="s">
        <v>16</v>
      </c>
      <c r="G576" s="2"/>
      <c r="H576" s="2"/>
      <c r="I576" s="3" t="n">
        <v>42156</v>
      </c>
      <c r="J576" s="2" t="s">
        <v>19</v>
      </c>
      <c r="K576" s="2"/>
      <c r="L576" s="4" t="s">
        <v>1507</v>
      </c>
    </row>
    <row r="577" customFormat="false" ht="13.35" hidden="false" customHeight="true" outlineLevel="0" collapsed="false">
      <c r="A577" s="5" t="str">
        <f aca="false">HYPERLINK("https://www.fabsurplus.com/sdi_catalog/salesItemDetails.do?id=102753")</f>
        <v>https://www.fabsurplus.com/sdi_catalog/salesItemDetails.do?id=102753</v>
      </c>
      <c r="B577" s="5" t="s">
        <v>1508</v>
      </c>
      <c r="C577" s="5" t="s">
        <v>1495</v>
      </c>
      <c r="D577" s="5" t="s">
        <v>1505</v>
      </c>
      <c r="E577" s="5" t="s">
        <v>1506</v>
      </c>
      <c r="F577" s="5" t="s">
        <v>16</v>
      </c>
      <c r="G577" s="5"/>
      <c r="H577" s="5"/>
      <c r="I577" s="6" t="n">
        <v>42156</v>
      </c>
      <c r="J577" s="5" t="s">
        <v>19</v>
      </c>
      <c r="K577" s="5"/>
      <c r="L577" s="7" t="s">
        <v>1509</v>
      </c>
    </row>
    <row r="578" customFormat="false" ht="13.35" hidden="false" customHeight="true" outlineLevel="0" collapsed="false">
      <c r="A578" s="5" t="str">
        <f aca="false">HYPERLINK("https://www.fabsurplus.com/sdi_catalog/salesItemDetails.do?id=101842")</f>
        <v>https://www.fabsurplus.com/sdi_catalog/salesItemDetails.do?id=101842</v>
      </c>
      <c r="B578" s="5" t="s">
        <v>1510</v>
      </c>
      <c r="C578" s="5" t="s">
        <v>1501</v>
      </c>
      <c r="D578" s="5" t="s">
        <v>1511</v>
      </c>
      <c r="E578" s="5" t="s">
        <v>1512</v>
      </c>
      <c r="F578" s="5" t="s">
        <v>16</v>
      </c>
      <c r="G578" s="5" t="s">
        <v>1498</v>
      </c>
      <c r="H578" s="5" t="s">
        <v>26</v>
      </c>
      <c r="I578" s="6" t="n">
        <v>38899</v>
      </c>
      <c r="J578" s="5" t="s">
        <v>19</v>
      </c>
      <c r="K578" s="5" t="s">
        <v>20</v>
      </c>
      <c r="L578" s="5" t="s">
        <v>177</v>
      </c>
    </row>
    <row r="579" customFormat="false" ht="13.35" hidden="false" customHeight="true" outlineLevel="0" collapsed="false">
      <c r="A579" s="2" t="str">
        <f aca="false">HYPERLINK("https://www.fabsurplus.com/sdi_catalog/salesItemDetails.do?id=98445")</f>
        <v>https://www.fabsurplus.com/sdi_catalog/salesItemDetails.do?id=98445</v>
      </c>
      <c r="B579" s="2" t="s">
        <v>1513</v>
      </c>
      <c r="C579" s="2" t="s">
        <v>1514</v>
      </c>
      <c r="D579" s="2" t="s">
        <v>1515</v>
      </c>
      <c r="E579" s="2" t="s">
        <v>1516</v>
      </c>
      <c r="F579" s="2" t="s">
        <v>16</v>
      </c>
      <c r="G579" s="2" t="s">
        <v>862</v>
      </c>
      <c r="H579" s="2" t="s">
        <v>18</v>
      </c>
      <c r="I579" s="2"/>
      <c r="J579" s="2" t="s">
        <v>19</v>
      </c>
      <c r="K579" s="2" t="s">
        <v>20</v>
      </c>
      <c r="L579" s="4" t="s">
        <v>1517</v>
      </c>
    </row>
    <row r="580" customFormat="false" ht="13.35" hidden="false" customHeight="true" outlineLevel="0" collapsed="false">
      <c r="A580" s="5" t="str">
        <f aca="false">HYPERLINK("https://www.fabsurplus.com/sdi_catalog/salesItemDetails.do?id=98446")</f>
        <v>https://www.fabsurplus.com/sdi_catalog/salesItemDetails.do?id=98446</v>
      </c>
      <c r="B580" s="5" t="s">
        <v>1518</v>
      </c>
      <c r="C580" s="5" t="s">
        <v>1514</v>
      </c>
      <c r="D580" s="5" t="s">
        <v>1519</v>
      </c>
      <c r="E580" s="5" t="s">
        <v>1516</v>
      </c>
      <c r="F580" s="5" t="s">
        <v>125</v>
      </c>
      <c r="G580" s="5" t="s">
        <v>862</v>
      </c>
      <c r="H580" s="5" t="s">
        <v>18</v>
      </c>
      <c r="I580" s="6" t="n">
        <v>36100</v>
      </c>
      <c r="J580" s="5" t="s">
        <v>19</v>
      </c>
      <c r="K580" s="5" t="s">
        <v>20</v>
      </c>
      <c r="L580" s="5" t="s">
        <v>1417</v>
      </c>
    </row>
    <row r="581" customFormat="false" ht="13.35" hidden="false" customHeight="true" outlineLevel="0" collapsed="false">
      <c r="A581" s="2" t="str">
        <f aca="false">HYPERLINK("https://www.fabsurplus.com/sdi_catalog/salesItemDetails.do?id=102860")</f>
        <v>https://www.fabsurplus.com/sdi_catalog/salesItemDetails.do?id=102860</v>
      </c>
      <c r="B581" s="2" t="s">
        <v>1520</v>
      </c>
      <c r="C581" s="2" t="s">
        <v>1514</v>
      </c>
      <c r="D581" s="2" t="s">
        <v>1521</v>
      </c>
      <c r="E581" s="2" t="s">
        <v>1522</v>
      </c>
      <c r="F581" s="2" t="s">
        <v>16</v>
      </c>
      <c r="G581" s="2" t="s">
        <v>36</v>
      </c>
      <c r="H581" s="2"/>
      <c r="I581" s="3" t="n">
        <v>35217</v>
      </c>
      <c r="J581" s="2" t="s">
        <v>19</v>
      </c>
      <c r="K581" s="2"/>
      <c r="L581" s="4" t="s">
        <v>1523</v>
      </c>
    </row>
    <row r="582" customFormat="false" ht="13.35" hidden="false" customHeight="true" outlineLevel="0" collapsed="false">
      <c r="A582" s="5" t="str">
        <f aca="false">HYPERLINK("https://www.fabsurplus.com/sdi_catalog/salesItemDetails.do?id=102861")</f>
        <v>https://www.fabsurplus.com/sdi_catalog/salesItemDetails.do?id=102861</v>
      </c>
      <c r="B582" s="5" t="s">
        <v>1524</v>
      </c>
      <c r="C582" s="5" t="s">
        <v>1514</v>
      </c>
      <c r="D582" s="5" t="s">
        <v>1525</v>
      </c>
      <c r="E582" s="5" t="s">
        <v>1526</v>
      </c>
      <c r="F582" s="5" t="s">
        <v>16</v>
      </c>
      <c r="G582" s="5" t="s">
        <v>17</v>
      </c>
      <c r="H582" s="5"/>
      <c r="I582" s="6" t="n">
        <v>35582</v>
      </c>
      <c r="J582" s="5" t="s">
        <v>19</v>
      </c>
      <c r="K582" s="5"/>
      <c r="L582" s="5" t="s">
        <v>1527</v>
      </c>
    </row>
    <row r="583" customFormat="false" ht="13.35" hidden="false" customHeight="true" outlineLevel="0" collapsed="false">
      <c r="A583" s="2" t="str">
        <f aca="false">HYPERLINK("https://www.fabsurplus.com/sdi_catalog/salesItemDetails.do?id=102551")</f>
        <v>https://www.fabsurplus.com/sdi_catalog/salesItemDetails.do?id=102551</v>
      </c>
      <c r="B583" s="2" t="s">
        <v>1528</v>
      </c>
      <c r="C583" s="2" t="s">
        <v>1529</v>
      </c>
      <c r="D583" s="2" t="s">
        <v>1530</v>
      </c>
      <c r="E583" s="2" t="s">
        <v>1531</v>
      </c>
      <c r="F583" s="2" t="s">
        <v>125</v>
      </c>
      <c r="G583" s="2" t="s">
        <v>862</v>
      </c>
      <c r="H583" s="2"/>
      <c r="I583" s="2"/>
      <c r="J583" s="2" t="s">
        <v>47</v>
      </c>
      <c r="K583" s="2"/>
      <c r="L583" s="2"/>
    </row>
    <row r="584" customFormat="false" ht="13.35" hidden="false" customHeight="true" outlineLevel="0" collapsed="false">
      <c r="A584" s="5" t="str">
        <f aca="false">HYPERLINK("https://www.fabsurplus.com/sdi_catalog/salesItemDetails.do?id=102552")</f>
        <v>https://www.fabsurplus.com/sdi_catalog/salesItemDetails.do?id=102552</v>
      </c>
      <c r="B584" s="5" t="s">
        <v>1532</v>
      </c>
      <c r="C584" s="5" t="s">
        <v>1529</v>
      </c>
      <c r="D584" s="5" t="s">
        <v>1533</v>
      </c>
      <c r="E584" s="5" t="s">
        <v>1534</v>
      </c>
      <c r="F584" s="5" t="s">
        <v>58</v>
      </c>
      <c r="G584" s="5" t="s">
        <v>862</v>
      </c>
      <c r="H584" s="5"/>
      <c r="I584" s="5"/>
      <c r="J584" s="5" t="s">
        <v>47</v>
      </c>
      <c r="K584" s="5"/>
      <c r="L584" s="5"/>
    </row>
    <row r="585" customFormat="false" ht="13.35" hidden="false" customHeight="true" outlineLevel="0" collapsed="false">
      <c r="A585" s="2" t="str">
        <f aca="false">HYPERLINK("https://www.fabsurplus.com/sdi_catalog/salesItemDetails.do?id=101816")</f>
        <v>https://www.fabsurplus.com/sdi_catalog/salesItemDetails.do?id=101816</v>
      </c>
      <c r="B585" s="2" t="s">
        <v>1535</v>
      </c>
      <c r="C585" s="2" t="s">
        <v>1529</v>
      </c>
      <c r="D585" s="2" t="s">
        <v>1536</v>
      </c>
      <c r="E585" s="2" t="s">
        <v>1537</v>
      </c>
      <c r="F585" s="2" t="s">
        <v>1538</v>
      </c>
      <c r="G585" s="2" t="s">
        <v>658</v>
      </c>
      <c r="H585" s="2"/>
      <c r="I585" s="2"/>
      <c r="J585" s="2" t="s">
        <v>47</v>
      </c>
      <c r="K585" s="2"/>
      <c r="L585" s="2"/>
    </row>
    <row r="586" customFormat="false" ht="13.35" hidden="false" customHeight="true" outlineLevel="0" collapsed="false">
      <c r="A586" s="5" t="str">
        <f aca="false">HYPERLINK("https://www.fabsurplus.com/sdi_catalog/salesItemDetails.do?id=101817")</f>
        <v>https://www.fabsurplus.com/sdi_catalog/salesItemDetails.do?id=101817</v>
      </c>
      <c r="B586" s="5" t="s">
        <v>1539</v>
      </c>
      <c r="C586" s="5" t="s">
        <v>1529</v>
      </c>
      <c r="D586" s="5" t="s">
        <v>1540</v>
      </c>
      <c r="E586" s="5" t="s">
        <v>1534</v>
      </c>
      <c r="F586" s="5" t="s">
        <v>137</v>
      </c>
      <c r="G586" s="5" t="s">
        <v>862</v>
      </c>
      <c r="H586" s="5" t="s">
        <v>26</v>
      </c>
      <c r="I586" s="5"/>
      <c r="J586" s="5" t="s">
        <v>19</v>
      </c>
      <c r="K586" s="5" t="s">
        <v>20</v>
      </c>
      <c r="L586" s="5"/>
    </row>
    <row r="587" customFormat="false" ht="13.35" hidden="false" customHeight="true" outlineLevel="0" collapsed="false">
      <c r="A587" s="5" t="str">
        <f aca="false">HYPERLINK("https://www.fabsurplus.com/sdi_catalog/salesItemDetails.do?id=98447")</f>
        <v>https://www.fabsurplus.com/sdi_catalog/salesItemDetails.do?id=98447</v>
      </c>
      <c r="B587" s="5" t="s">
        <v>1541</v>
      </c>
      <c r="C587" s="5" t="s">
        <v>1542</v>
      </c>
      <c r="D587" s="5" t="s">
        <v>1543</v>
      </c>
      <c r="E587" s="5" t="s">
        <v>1544</v>
      </c>
      <c r="F587" s="5" t="s">
        <v>16</v>
      </c>
      <c r="G587" s="5" t="s">
        <v>658</v>
      </c>
      <c r="H587" s="5" t="s">
        <v>18</v>
      </c>
      <c r="I587" s="5"/>
      <c r="J587" s="5" t="s">
        <v>19</v>
      </c>
      <c r="K587" s="5" t="s">
        <v>20</v>
      </c>
      <c r="L587" s="5" t="s">
        <v>1417</v>
      </c>
    </row>
    <row r="588" customFormat="false" ht="13.35" hidden="false" customHeight="true" outlineLevel="0" collapsed="false">
      <c r="A588" s="2" t="str">
        <f aca="false">HYPERLINK("https://www.fabsurplus.com/sdi_catalog/salesItemDetails.do?id=98448")</f>
        <v>https://www.fabsurplus.com/sdi_catalog/salesItemDetails.do?id=98448</v>
      </c>
      <c r="B588" s="2" t="s">
        <v>1545</v>
      </c>
      <c r="C588" s="2" t="s">
        <v>1542</v>
      </c>
      <c r="D588" s="2" t="s">
        <v>1546</v>
      </c>
      <c r="E588" s="2" t="s">
        <v>1547</v>
      </c>
      <c r="F588" s="2" t="s">
        <v>366</v>
      </c>
      <c r="G588" s="2" t="s">
        <v>36</v>
      </c>
      <c r="H588" s="2" t="s">
        <v>18</v>
      </c>
      <c r="I588" s="2"/>
      <c r="J588" s="2" t="s">
        <v>19</v>
      </c>
      <c r="K588" s="2" t="s">
        <v>20</v>
      </c>
      <c r="L588" s="2" t="s">
        <v>1417</v>
      </c>
    </row>
    <row r="589" customFormat="false" ht="13.35" hidden="false" customHeight="true" outlineLevel="0" collapsed="false">
      <c r="A589" s="5" t="str">
        <f aca="false">HYPERLINK("https://www.fabsurplus.com/sdi_catalog/salesItemDetails.do?id=101818")</f>
        <v>https://www.fabsurplus.com/sdi_catalog/salesItemDetails.do?id=101818</v>
      </c>
      <c r="B589" s="5" t="s">
        <v>1548</v>
      </c>
      <c r="C589" s="5" t="s">
        <v>1542</v>
      </c>
      <c r="D589" s="5" t="s">
        <v>1549</v>
      </c>
      <c r="E589" s="5" t="s">
        <v>1550</v>
      </c>
      <c r="F589" s="5" t="s">
        <v>16</v>
      </c>
      <c r="G589" s="5" t="s">
        <v>862</v>
      </c>
      <c r="H589" s="5" t="s">
        <v>18</v>
      </c>
      <c r="I589" s="5"/>
      <c r="J589" s="5" t="s">
        <v>47</v>
      </c>
      <c r="K589" s="5"/>
      <c r="L589" s="5"/>
    </row>
    <row r="590" customFormat="false" ht="13.35" hidden="false" customHeight="true" outlineLevel="0" collapsed="false">
      <c r="A590" s="2" t="str">
        <f aca="false">HYPERLINK("https://www.fabsurplus.com/sdi_catalog/salesItemDetails.do?id=100347")</f>
        <v>https://www.fabsurplus.com/sdi_catalog/salesItemDetails.do?id=100347</v>
      </c>
      <c r="B590" s="2" t="s">
        <v>1551</v>
      </c>
      <c r="C590" s="2" t="s">
        <v>1552</v>
      </c>
      <c r="D590" s="2" t="s">
        <v>1553</v>
      </c>
      <c r="E590" s="2" t="s">
        <v>1554</v>
      </c>
      <c r="F590" s="2" t="s">
        <v>16</v>
      </c>
      <c r="G590" s="2"/>
      <c r="H590" s="2" t="s">
        <v>26</v>
      </c>
      <c r="I590" s="2"/>
      <c r="J590" s="2" t="s">
        <v>19</v>
      </c>
      <c r="K590" s="2" t="s">
        <v>20</v>
      </c>
      <c r="L590" s="2"/>
    </row>
    <row r="591" customFormat="false" ht="13.35" hidden="false" customHeight="true" outlineLevel="0" collapsed="false">
      <c r="A591" s="5" t="str">
        <f aca="false">HYPERLINK("https://www.fabsurplus.com/sdi_catalog/salesItemDetails.do?id=102684")</f>
        <v>https://www.fabsurplus.com/sdi_catalog/salesItemDetails.do?id=102684</v>
      </c>
      <c r="B591" s="5" t="s">
        <v>1555</v>
      </c>
      <c r="C591" s="5" t="s">
        <v>1556</v>
      </c>
      <c r="D591" s="5" t="s">
        <v>1557</v>
      </c>
      <c r="E591" s="5" t="s">
        <v>1558</v>
      </c>
      <c r="F591" s="5" t="s">
        <v>16</v>
      </c>
      <c r="G591" s="5" t="s">
        <v>17</v>
      </c>
      <c r="H591" s="5"/>
      <c r="I591" s="5"/>
      <c r="J591" s="5" t="s">
        <v>19</v>
      </c>
      <c r="K591" s="5"/>
      <c r="L591" s="7" t="s">
        <v>1559</v>
      </c>
    </row>
    <row r="592" customFormat="false" ht="13.35" hidden="false" customHeight="true" outlineLevel="0" collapsed="false">
      <c r="A592" s="2" t="str">
        <f aca="false">HYPERLINK("https://www.fabsurplus.com/sdi_catalog/salesItemDetails.do?id=102685")</f>
        <v>https://www.fabsurplus.com/sdi_catalog/salesItemDetails.do?id=102685</v>
      </c>
      <c r="B592" s="2" t="s">
        <v>1560</v>
      </c>
      <c r="C592" s="2" t="s">
        <v>1556</v>
      </c>
      <c r="D592" s="2" t="s">
        <v>1557</v>
      </c>
      <c r="E592" s="2" t="s">
        <v>1558</v>
      </c>
      <c r="F592" s="2" t="s">
        <v>16</v>
      </c>
      <c r="G592" s="2" t="s">
        <v>17</v>
      </c>
      <c r="H592" s="2"/>
      <c r="I592" s="2"/>
      <c r="J592" s="2" t="s">
        <v>19</v>
      </c>
      <c r="K592" s="2"/>
      <c r="L592" s="4" t="s">
        <v>1561</v>
      </c>
    </row>
    <row r="593" customFormat="false" ht="13.35" hidden="false" customHeight="true" outlineLevel="0" collapsed="false">
      <c r="A593" s="5" t="str">
        <f aca="false">HYPERLINK("https://www.fabsurplus.com/sdi_catalog/salesItemDetails.do?id=64789")</f>
        <v>https://www.fabsurplus.com/sdi_catalog/salesItemDetails.do?id=64789</v>
      </c>
      <c r="B593" s="5" t="s">
        <v>1562</v>
      </c>
      <c r="C593" s="5" t="s">
        <v>1563</v>
      </c>
      <c r="D593" s="5" t="s">
        <v>1564</v>
      </c>
      <c r="E593" s="5" t="s">
        <v>1565</v>
      </c>
      <c r="F593" s="5" t="s">
        <v>125</v>
      </c>
      <c r="G593" s="5"/>
      <c r="H593" s="5"/>
      <c r="I593" s="5"/>
      <c r="J593" s="5" t="s">
        <v>19</v>
      </c>
      <c r="K593" s="5"/>
      <c r="L593" s="5"/>
    </row>
    <row r="594" customFormat="false" ht="13.35" hidden="false" customHeight="true" outlineLevel="0" collapsed="false">
      <c r="A594" s="5" t="str">
        <f aca="false">HYPERLINK("https://www.fabsurplus.com/sdi_catalog/salesItemDetails.do?id=102141")</f>
        <v>https://www.fabsurplus.com/sdi_catalog/salesItemDetails.do?id=102141</v>
      </c>
      <c r="B594" s="5" t="s">
        <v>1566</v>
      </c>
      <c r="C594" s="5" t="s">
        <v>1567</v>
      </c>
      <c r="D594" s="5" t="s">
        <v>1568</v>
      </c>
      <c r="E594" s="5" t="s">
        <v>1569</v>
      </c>
      <c r="F594" s="5" t="s">
        <v>16</v>
      </c>
      <c r="G594" s="5" t="s">
        <v>17</v>
      </c>
      <c r="H594" s="5"/>
      <c r="I594" s="5"/>
      <c r="J594" s="5" t="s">
        <v>19</v>
      </c>
      <c r="K594" s="5"/>
      <c r="L594" s="5"/>
    </row>
    <row r="595" customFormat="false" ht="13.35" hidden="false" customHeight="true" outlineLevel="0" collapsed="false">
      <c r="A595" s="5" t="str">
        <f aca="false">HYPERLINK("https://www.fabsurplus.com/sdi_catalog/salesItemDetails.do?id=98266")</f>
        <v>https://www.fabsurplus.com/sdi_catalog/salesItemDetails.do?id=98266</v>
      </c>
      <c r="B595" s="5" t="s">
        <v>1570</v>
      </c>
      <c r="C595" s="5" t="s">
        <v>1563</v>
      </c>
      <c r="D595" s="5" t="s">
        <v>1571</v>
      </c>
      <c r="E595" s="5" t="s">
        <v>1572</v>
      </c>
      <c r="F595" s="5" t="s">
        <v>16</v>
      </c>
      <c r="G595" s="5" t="s">
        <v>36</v>
      </c>
      <c r="H595" s="5" t="s">
        <v>26</v>
      </c>
      <c r="I595" s="5"/>
      <c r="J595" s="5" t="s">
        <v>19</v>
      </c>
      <c r="K595" s="5" t="s">
        <v>20</v>
      </c>
      <c r="L595" s="7" t="s">
        <v>1573</v>
      </c>
    </row>
    <row r="596" customFormat="false" ht="13.35" hidden="false" customHeight="true" outlineLevel="0" collapsed="false">
      <c r="A596" s="2" t="str">
        <f aca="false">HYPERLINK("https://www.fabsurplus.com/sdi_catalog/salesItemDetails.do?id=98212")</f>
        <v>https://www.fabsurplus.com/sdi_catalog/salesItemDetails.do?id=98212</v>
      </c>
      <c r="B596" s="2" t="s">
        <v>1574</v>
      </c>
      <c r="C596" s="2" t="s">
        <v>1567</v>
      </c>
      <c r="D596" s="2" t="s">
        <v>1575</v>
      </c>
      <c r="E596" s="2" t="s">
        <v>1576</v>
      </c>
      <c r="F596" s="2" t="s">
        <v>16</v>
      </c>
      <c r="G596" s="2" t="s">
        <v>36</v>
      </c>
      <c r="H596" s="2" t="s">
        <v>26</v>
      </c>
      <c r="I596" s="2"/>
      <c r="J596" s="2" t="s">
        <v>19</v>
      </c>
      <c r="K596" s="2" t="s">
        <v>20</v>
      </c>
      <c r="L596" s="2" t="s">
        <v>177</v>
      </c>
    </row>
    <row r="597" customFormat="false" ht="13.35" hidden="false" customHeight="true" outlineLevel="0" collapsed="false">
      <c r="A597" s="2" t="str">
        <f aca="false">HYPERLINK("https://www.fabsurplus.com/sdi_catalog/salesItemDetails.do?id=102142")</f>
        <v>https://www.fabsurplus.com/sdi_catalog/salesItemDetails.do?id=102142</v>
      </c>
      <c r="B597" s="2" t="s">
        <v>1577</v>
      </c>
      <c r="C597" s="2" t="s">
        <v>1567</v>
      </c>
      <c r="D597" s="2" t="s">
        <v>1578</v>
      </c>
      <c r="E597" s="2" t="s">
        <v>1579</v>
      </c>
      <c r="F597" s="2" t="s">
        <v>16</v>
      </c>
      <c r="G597" s="2" t="s">
        <v>17</v>
      </c>
      <c r="H597" s="2"/>
      <c r="I597" s="3" t="n">
        <v>37408</v>
      </c>
      <c r="J597" s="2" t="s">
        <v>19</v>
      </c>
      <c r="K597" s="2"/>
      <c r="L597" s="2"/>
    </row>
    <row r="598" customFormat="false" ht="13.35" hidden="false" customHeight="true" outlineLevel="0" collapsed="false">
      <c r="A598" s="2" t="str">
        <f aca="false">HYPERLINK("https://www.fabsurplus.com/sdi_catalog/salesItemDetails.do?id=84533")</f>
        <v>https://www.fabsurplus.com/sdi_catalog/salesItemDetails.do?id=84533</v>
      </c>
      <c r="B598" s="2" t="s">
        <v>1580</v>
      </c>
      <c r="C598" s="2" t="s">
        <v>1567</v>
      </c>
      <c r="D598" s="2" t="s">
        <v>1581</v>
      </c>
      <c r="E598" s="2" t="s">
        <v>1582</v>
      </c>
      <c r="F598" s="2" t="s">
        <v>16</v>
      </c>
      <c r="G598" s="2" t="s">
        <v>17</v>
      </c>
      <c r="H598" s="2" t="s">
        <v>26</v>
      </c>
      <c r="I598" s="3" t="n">
        <v>40513</v>
      </c>
      <c r="J598" s="2" t="s">
        <v>19</v>
      </c>
      <c r="K598" s="2" t="s">
        <v>20</v>
      </c>
      <c r="L598" s="4" t="s">
        <v>1583</v>
      </c>
    </row>
    <row r="599" customFormat="false" ht="13.35" hidden="false" customHeight="true" outlineLevel="0" collapsed="false">
      <c r="A599" s="5" t="str">
        <f aca="false">HYPERLINK("https://www.fabsurplus.com/sdi_catalog/salesItemDetails.do?id=87639")</f>
        <v>https://www.fabsurplus.com/sdi_catalog/salesItemDetails.do?id=87639</v>
      </c>
      <c r="B599" s="5" t="s">
        <v>1584</v>
      </c>
      <c r="C599" s="5" t="s">
        <v>1567</v>
      </c>
      <c r="D599" s="5" t="s">
        <v>1585</v>
      </c>
      <c r="E599" s="5" t="s">
        <v>1586</v>
      </c>
      <c r="F599" s="5" t="s">
        <v>16</v>
      </c>
      <c r="G599" s="5" t="s">
        <v>36</v>
      </c>
      <c r="H599" s="5" t="s">
        <v>26</v>
      </c>
      <c r="I599" s="6" t="n">
        <v>35643</v>
      </c>
      <c r="J599" s="5" t="s">
        <v>19</v>
      </c>
      <c r="K599" s="5" t="s">
        <v>20</v>
      </c>
      <c r="L599" s="7" t="s">
        <v>1587</v>
      </c>
    </row>
    <row r="600" customFormat="false" ht="13.35" hidden="false" customHeight="true" outlineLevel="0" collapsed="false">
      <c r="A600" s="5" t="str">
        <f aca="false">HYPERLINK("https://www.fabsurplus.com/sdi_catalog/salesItemDetails.do?id=102143")</f>
        <v>https://www.fabsurplus.com/sdi_catalog/salesItemDetails.do?id=102143</v>
      </c>
      <c r="B600" s="5" t="s">
        <v>1588</v>
      </c>
      <c r="C600" s="5" t="s">
        <v>1567</v>
      </c>
      <c r="D600" s="5" t="s">
        <v>1589</v>
      </c>
      <c r="E600" s="5" t="s">
        <v>1590</v>
      </c>
      <c r="F600" s="5" t="s">
        <v>16</v>
      </c>
      <c r="G600" s="5" t="s">
        <v>17</v>
      </c>
      <c r="H600" s="5"/>
      <c r="I600" s="6" t="n">
        <v>41791</v>
      </c>
      <c r="J600" s="5" t="s">
        <v>19</v>
      </c>
      <c r="K600" s="5"/>
      <c r="L600" s="5"/>
    </row>
    <row r="601" customFormat="false" ht="13.35" hidden="false" customHeight="true" outlineLevel="0" collapsed="false">
      <c r="A601" s="2" t="str">
        <f aca="false">HYPERLINK("https://www.fabsurplus.com/sdi_catalog/salesItemDetails.do?id=102144")</f>
        <v>https://www.fabsurplus.com/sdi_catalog/salesItemDetails.do?id=102144</v>
      </c>
      <c r="B601" s="2" t="s">
        <v>1591</v>
      </c>
      <c r="C601" s="2" t="s">
        <v>1567</v>
      </c>
      <c r="D601" s="2" t="s">
        <v>1589</v>
      </c>
      <c r="E601" s="2" t="s">
        <v>1590</v>
      </c>
      <c r="F601" s="2" t="s">
        <v>16</v>
      </c>
      <c r="G601" s="2" t="s">
        <v>17</v>
      </c>
      <c r="H601" s="2"/>
      <c r="I601" s="3" t="n">
        <v>41791</v>
      </c>
      <c r="J601" s="2" t="s">
        <v>19</v>
      </c>
      <c r="K601" s="2"/>
      <c r="L601" s="2"/>
    </row>
    <row r="602" customFormat="false" ht="13.35" hidden="false" customHeight="true" outlineLevel="0" collapsed="false">
      <c r="A602" s="5" t="str">
        <f aca="false">HYPERLINK("https://www.fabsurplus.com/sdi_catalog/salesItemDetails.do?id=102145")</f>
        <v>https://www.fabsurplus.com/sdi_catalog/salesItemDetails.do?id=102145</v>
      </c>
      <c r="B602" s="5" t="s">
        <v>1592</v>
      </c>
      <c r="C602" s="5" t="s">
        <v>1567</v>
      </c>
      <c r="D602" s="5" t="s">
        <v>1593</v>
      </c>
      <c r="E602" s="5" t="s">
        <v>818</v>
      </c>
      <c r="F602" s="5" t="s">
        <v>16</v>
      </c>
      <c r="G602" s="5" t="s">
        <v>17</v>
      </c>
      <c r="H602" s="5"/>
      <c r="I602" s="5"/>
      <c r="J602" s="5" t="s">
        <v>19</v>
      </c>
      <c r="K602" s="5"/>
      <c r="L602" s="5"/>
    </row>
    <row r="603" customFormat="false" ht="13.35" hidden="false" customHeight="true" outlineLevel="0" collapsed="false">
      <c r="A603" s="5" t="str">
        <f aca="false">HYPERLINK("https://www.fabsurplus.com/sdi_catalog/salesItemDetails.do?id=102146")</f>
        <v>https://www.fabsurplus.com/sdi_catalog/salesItemDetails.do?id=102146</v>
      </c>
      <c r="B603" s="5" t="s">
        <v>1594</v>
      </c>
      <c r="C603" s="5" t="s">
        <v>1567</v>
      </c>
      <c r="D603" s="5" t="s">
        <v>1595</v>
      </c>
      <c r="E603" s="5" t="s">
        <v>818</v>
      </c>
      <c r="F603" s="5" t="s">
        <v>16</v>
      </c>
      <c r="G603" s="5" t="s">
        <v>17</v>
      </c>
      <c r="H603" s="5"/>
      <c r="I603" s="6" t="n">
        <v>37773</v>
      </c>
      <c r="J603" s="5" t="s">
        <v>19</v>
      </c>
      <c r="K603" s="5"/>
      <c r="L603" s="5"/>
    </row>
    <row r="604" customFormat="false" ht="13.35" hidden="false" customHeight="true" outlineLevel="0" collapsed="false">
      <c r="A604" s="2" t="str">
        <f aca="false">HYPERLINK("https://www.fabsurplus.com/sdi_catalog/salesItemDetails.do?id=102837")</f>
        <v>https://www.fabsurplus.com/sdi_catalog/salesItemDetails.do?id=102837</v>
      </c>
      <c r="B604" s="2" t="s">
        <v>1596</v>
      </c>
      <c r="C604" s="2" t="s">
        <v>1597</v>
      </c>
      <c r="D604" s="2" t="s">
        <v>1598</v>
      </c>
      <c r="E604" s="2" t="s">
        <v>1599</v>
      </c>
      <c r="F604" s="2" t="s">
        <v>16</v>
      </c>
      <c r="G604" s="2"/>
      <c r="H604" s="2" t="s">
        <v>592</v>
      </c>
      <c r="I604" s="3" t="n">
        <v>29312</v>
      </c>
      <c r="J604" s="2" t="s">
        <v>19</v>
      </c>
      <c r="K604" s="2"/>
      <c r="L604" s="2"/>
    </row>
    <row r="605" customFormat="false" ht="13.35" hidden="false" customHeight="true" outlineLevel="0" collapsed="false">
      <c r="A605" s="2" t="str">
        <f aca="false">HYPERLINK("https://www.fabsurplus.com/sdi_catalog/salesItemDetails.do?id=84529")</f>
        <v>https://www.fabsurplus.com/sdi_catalog/salesItemDetails.do?id=84529</v>
      </c>
      <c r="B605" s="2" t="s">
        <v>1600</v>
      </c>
      <c r="C605" s="2" t="s">
        <v>1601</v>
      </c>
      <c r="D605" s="2" t="s">
        <v>1602</v>
      </c>
      <c r="E605" s="2" t="s">
        <v>1603</v>
      </c>
      <c r="F605" s="2" t="s">
        <v>16</v>
      </c>
      <c r="G605" s="2" t="s">
        <v>36</v>
      </c>
      <c r="H605" s="2" t="s">
        <v>26</v>
      </c>
      <c r="I605" s="3" t="n">
        <v>37043</v>
      </c>
      <c r="J605" s="2" t="s">
        <v>19</v>
      </c>
      <c r="K605" s="2" t="s">
        <v>20</v>
      </c>
      <c r="L605" s="2" t="s">
        <v>1604</v>
      </c>
    </row>
    <row r="606" customFormat="false" ht="13.35" hidden="false" customHeight="true" outlineLevel="0" collapsed="false">
      <c r="A606" s="5" t="str">
        <f aca="false">HYPERLINK("https://www.fabsurplus.com/sdi_catalog/salesItemDetails.do?id=84530")</f>
        <v>https://www.fabsurplus.com/sdi_catalog/salesItemDetails.do?id=84530</v>
      </c>
      <c r="B606" s="5" t="s">
        <v>1605</v>
      </c>
      <c r="C606" s="5" t="s">
        <v>1601</v>
      </c>
      <c r="D606" s="5" t="s">
        <v>1602</v>
      </c>
      <c r="E606" s="5" t="s">
        <v>1603</v>
      </c>
      <c r="F606" s="5" t="s">
        <v>16</v>
      </c>
      <c r="G606" s="5" t="s">
        <v>36</v>
      </c>
      <c r="H606" s="5" t="s">
        <v>26</v>
      </c>
      <c r="I606" s="5"/>
      <c r="J606" s="5" t="s">
        <v>19</v>
      </c>
      <c r="K606" s="5" t="s">
        <v>20</v>
      </c>
      <c r="L606" s="5" t="s">
        <v>1606</v>
      </c>
    </row>
    <row r="607" customFormat="false" ht="13.35" hidden="false" customHeight="true" outlineLevel="0" collapsed="false">
      <c r="A607" s="2" t="str">
        <f aca="false">HYPERLINK("https://www.fabsurplus.com/sdi_catalog/salesItemDetails.do?id=102862")</f>
        <v>https://www.fabsurplus.com/sdi_catalog/salesItemDetails.do?id=102862</v>
      </c>
      <c r="B607" s="2" t="s">
        <v>1607</v>
      </c>
      <c r="C607" s="2" t="s">
        <v>1608</v>
      </c>
      <c r="D607" s="2" t="s">
        <v>1609</v>
      </c>
      <c r="E607" s="2" t="s">
        <v>1610</v>
      </c>
      <c r="F607" s="2" t="s">
        <v>125</v>
      </c>
      <c r="G607" s="2" t="s">
        <v>36</v>
      </c>
      <c r="H607" s="2"/>
      <c r="I607" s="2"/>
      <c r="J607" s="2" t="s">
        <v>19</v>
      </c>
      <c r="K607" s="2"/>
      <c r="L607" s="2" t="s">
        <v>1610</v>
      </c>
    </row>
    <row r="608" customFormat="false" ht="13.35" hidden="false" customHeight="true" outlineLevel="0" collapsed="false">
      <c r="A608" s="5" t="str">
        <f aca="false">HYPERLINK("https://www.fabsurplus.com/sdi_catalog/salesItemDetails.do?id=102863")</f>
        <v>https://www.fabsurplus.com/sdi_catalog/salesItemDetails.do?id=102863</v>
      </c>
      <c r="B608" s="5" t="s">
        <v>1611</v>
      </c>
      <c r="C608" s="5" t="s">
        <v>1612</v>
      </c>
      <c r="D608" s="5" t="s">
        <v>1613</v>
      </c>
      <c r="E608" s="5" t="s">
        <v>1614</v>
      </c>
      <c r="F608" s="5" t="s">
        <v>16</v>
      </c>
      <c r="G608" s="5" t="s">
        <v>36</v>
      </c>
      <c r="H608" s="5"/>
      <c r="I608" s="5"/>
      <c r="J608" s="5" t="s">
        <v>19</v>
      </c>
      <c r="K608" s="5"/>
      <c r="L608" s="5" t="s">
        <v>1615</v>
      </c>
    </row>
    <row r="609" customFormat="false" ht="13.35" hidden="false" customHeight="true" outlineLevel="0" collapsed="false">
      <c r="A609" s="2" t="str">
        <f aca="false">HYPERLINK("https://www.fabsurplus.com/sdi_catalog/salesItemDetails.do?id=102864")</f>
        <v>https://www.fabsurplus.com/sdi_catalog/salesItemDetails.do?id=102864</v>
      </c>
      <c r="B609" s="2" t="s">
        <v>1616</v>
      </c>
      <c r="C609" s="2" t="s">
        <v>1612</v>
      </c>
      <c r="D609" s="2" t="s">
        <v>1613</v>
      </c>
      <c r="E609" s="2" t="s">
        <v>1614</v>
      </c>
      <c r="F609" s="2" t="s">
        <v>16</v>
      </c>
      <c r="G609" s="2" t="s">
        <v>36</v>
      </c>
      <c r="H609" s="2"/>
      <c r="I609" s="2"/>
      <c r="J609" s="2" t="s">
        <v>19</v>
      </c>
      <c r="K609" s="2"/>
      <c r="L609" s="2" t="s">
        <v>1617</v>
      </c>
    </row>
    <row r="610" customFormat="false" ht="13.35" hidden="false" customHeight="true" outlineLevel="0" collapsed="false">
      <c r="A610" s="5" t="str">
        <f aca="false">HYPERLINK("https://www.fabsurplus.com/sdi_catalog/salesItemDetails.do?id=102865")</f>
        <v>https://www.fabsurplus.com/sdi_catalog/salesItemDetails.do?id=102865</v>
      </c>
      <c r="B610" s="5" t="s">
        <v>1618</v>
      </c>
      <c r="C610" s="5" t="s">
        <v>1612</v>
      </c>
      <c r="D610" s="5" t="s">
        <v>1613</v>
      </c>
      <c r="E610" s="5" t="s">
        <v>1614</v>
      </c>
      <c r="F610" s="5" t="s">
        <v>16</v>
      </c>
      <c r="G610" s="5" t="s">
        <v>36</v>
      </c>
      <c r="H610" s="5"/>
      <c r="I610" s="5"/>
      <c r="J610" s="5" t="s">
        <v>19</v>
      </c>
      <c r="K610" s="5"/>
      <c r="L610" s="5" t="s">
        <v>1617</v>
      </c>
    </row>
    <row r="611" customFormat="false" ht="13.35" hidden="false" customHeight="true" outlineLevel="0" collapsed="false">
      <c r="A611" s="2" t="str">
        <f aca="false">HYPERLINK("https://www.fabsurplus.com/sdi_catalog/salesItemDetails.do?id=102866")</f>
        <v>https://www.fabsurplus.com/sdi_catalog/salesItemDetails.do?id=102866</v>
      </c>
      <c r="B611" s="2" t="s">
        <v>1619</v>
      </c>
      <c r="C611" s="2" t="s">
        <v>1612</v>
      </c>
      <c r="D611" s="2" t="s">
        <v>1613</v>
      </c>
      <c r="E611" s="2" t="s">
        <v>1614</v>
      </c>
      <c r="F611" s="2" t="s">
        <v>16</v>
      </c>
      <c r="G611" s="2" t="s">
        <v>36</v>
      </c>
      <c r="H611" s="2"/>
      <c r="I611" s="2"/>
      <c r="J611" s="2" t="s">
        <v>19</v>
      </c>
      <c r="K611" s="2"/>
      <c r="L611" s="2" t="s">
        <v>1617</v>
      </c>
    </row>
    <row r="612" customFormat="false" ht="13.35" hidden="false" customHeight="true" outlineLevel="0" collapsed="false">
      <c r="A612" s="5" t="str">
        <f aca="false">HYPERLINK("https://www.fabsurplus.com/sdi_catalog/salesItemDetails.do?id=102867")</f>
        <v>https://www.fabsurplus.com/sdi_catalog/salesItemDetails.do?id=102867</v>
      </c>
      <c r="B612" s="5" t="s">
        <v>1620</v>
      </c>
      <c r="C612" s="5" t="s">
        <v>1612</v>
      </c>
      <c r="D612" s="5" t="s">
        <v>1613</v>
      </c>
      <c r="E612" s="5" t="s">
        <v>1614</v>
      </c>
      <c r="F612" s="5" t="s">
        <v>16</v>
      </c>
      <c r="G612" s="5" t="s">
        <v>36</v>
      </c>
      <c r="H612" s="5"/>
      <c r="I612" s="5"/>
      <c r="J612" s="5" t="s">
        <v>19</v>
      </c>
      <c r="K612" s="5"/>
      <c r="L612" s="5" t="s">
        <v>1617</v>
      </c>
    </row>
    <row r="613" customFormat="false" ht="13.35" hidden="false" customHeight="true" outlineLevel="0" collapsed="false">
      <c r="A613" s="2" t="str">
        <f aca="false">HYPERLINK("https://www.fabsurplus.com/sdi_catalog/salesItemDetails.do?id=102868")</f>
        <v>https://www.fabsurplus.com/sdi_catalog/salesItemDetails.do?id=102868</v>
      </c>
      <c r="B613" s="2" t="s">
        <v>1621</v>
      </c>
      <c r="C613" s="2" t="s">
        <v>1612</v>
      </c>
      <c r="D613" s="2" t="s">
        <v>1622</v>
      </c>
      <c r="E613" s="2" t="s">
        <v>1623</v>
      </c>
      <c r="F613" s="2" t="s">
        <v>16</v>
      </c>
      <c r="G613" s="2" t="s">
        <v>36</v>
      </c>
      <c r="H613" s="2"/>
      <c r="I613" s="2"/>
      <c r="J613" s="2" t="s">
        <v>19</v>
      </c>
      <c r="K613" s="2"/>
      <c r="L613" s="2" t="s">
        <v>1624</v>
      </c>
    </row>
    <row r="614" customFormat="false" ht="13.35" hidden="false" customHeight="true" outlineLevel="0" collapsed="false">
      <c r="A614" s="5" t="str">
        <f aca="false">HYPERLINK("https://www.fabsurplus.com/sdi_catalog/salesItemDetails.do?id=87982")</f>
        <v>https://www.fabsurplus.com/sdi_catalog/salesItemDetails.do?id=87982</v>
      </c>
      <c r="B614" s="5" t="s">
        <v>1625</v>
      </c>
      <c r="C614" s="5" t="s">
        <v>1626</v>
      </c>
      <c r="D614" s="5" t="s">
        <v>1627</v>
      </c>
      <c r="E614" s="5" t="s">
        <v>87</v>
      </c>
      <c r="F614" s="5" t="s">
        <v>125</v>
      </c>
      <c r="G614" s="5" t="s">
        <v>88</v>
      </c>
      <c r="H614" s="5"/>
      <c r="I614" s="5"/>
      <c r="J614" s="5" t="s">
        <v>19</v>
      </c>
      <c r="K614" s="5"/>
      <c r="L614" s="5" t="s">
        <v>89</v>
      </c>
    </row>
    <row r="615" customFormat="false" ht="13.35" hidden="false" customHeight="true" outlineLevel="0" collapsed="false">
      <c r="A615" s="2" t="str">
        <f aca="false">HYPERLINK("https://www.fabsurplus.com/sdi_catalog/salesItemDetails.do?id=87484")</f>
        <v>https://www.fabsurplus.com/sdi_catalog/salesItemDetails.do?id=87484</v>
      </c>
      <c r="B615" s="2" t="s">
        <v>1628</v>
      </c>
      <c r="C615" s="2" t="s">
        <v>1629</v>
      </c>
      <c r="D615" s="2" t="s">
        <v>1630</v>
      </c>
      <c r="E615" s="2" t="s">
        <v>1631</v>
      </c>
      <c r="F615" s="2" t="s">
        <v>16</v>
      </c>
      <c r="G615" s="2"/>
      <c r="H615" s="2"/>
      <c r="I615" s="2"/>
      <c r="J615" s="2" t="s">
        <v>19</v>
      </c>
      <c r="K615" s="2"/>
      <c r="L615" s="2"/>
    </row>
    <row r="616" customFormat="false" ht="13.35" hidden="false" customHeight="true" outlineLevel="0" collapsed="false">
      <c r="A616" s="5" t="str">
        <f aca="false">HYPERLINK("https://www.fabsurplus.com/sdi_catalog/salesItemDetails.do?id=87485")</f>
        <v>https://www.fabsurplus.com/sdi_catalog/salesItemDetails.do?id=87485</v>
      </c>
      <c r="B616" s="5" t="s">
        <v>1632</v>
      </c>
      <c r="C616" s="5" t="s">
        <v>1629</v>
      </c>
      <c r="D616" s="5" t="s">
        <v>1630</v>
      </c>
      <c r="E616" s="5" t="s">
        <v>1633</v>
      </c>
      <c r="F616" s="5" t="s">
        <v>16</v>
      </c>
      <c r="G616" s="5"/>
      <c r="H616" s="5"/>
      <c r="I616" s="5"/>
      <c r="J616" s="5" t="s">
        <v>19</v>
      </c>
      <c r="K616" s="5"/>
      <c r="L616" s="5"/>
    </row>
    <row r="617" customFormat="false" ht="13.35" hidden="false" customHeight="true" outlineLevel="0" collapsed="false">
      <c r="A617" s="2" t="str">
        <f aca="false">HYPERLINK("https://www.fabsurplus.com/sdi_catalog/salesItemDetails.do?id=87486")</f>
        <v>https://www.fabsurplus.com/sdi_catalog/salesItemDetails.do?id=87486</v>
      </c>
      <c r="B617" s="2" t="s">
        <v>1634</v>
      </c>
      <c r="C617" s="2" t="s">
        <v>1629</v>
      </c>
      <c r="D617" s="2" t="s">
        <v>1635</v>
      </c>
      <c r="E617" s="2" t="s">
        <v>1636</v>
      </c>
      <c r="F617" s="2" t="s">
        <v>16</v>
      </c>
      <c r="G617" s="2"/>
      <c r="H617" s="2"/>
      <c r="I617" s="2"/>
      <c r="J617" s="2" t="s">
        <v>19</v>
      </c>
      <c r="K617" s="2"/>
      <c r="L617" s="2"/>
    </row>
    <row r="618" customFormat="false" ht="13.35" hidden="false" customHeight="true" outlineLevel="0" collapsed="false">
      <c r="A618" s="5" t="str">
        <f aca="false">HYPERLINK("https://www.fabsurplus.com/sdi_catalog/salesItemDetails.do?id=87487")</f>
        <v>https://www.fabsurplus.com/sdi_catalog/salesItemDetails.do?id=87487</v>
      </c>
      <c r="B618" s="5" t="s">
        <v>1637</v>
      </c>
      <c r="C618" s="5" t="s">
        <v>1629</v>
      </c>
      <c r="D618" s="5" t="s">
        <v>1638</v>
      </c>
      <c r="E618" s="5" t="s">
        <v>1639</v>
      </c>
      <c r="F618" s="5" t="s">
        <v>16</v>
      </c>
      <c r="G618" s="5"/>
      <c r="H618" s="5"/>
      <c r="I618" s="5"/>
      <c r="J618" s="5" t="s">
        <v>19</v>
      </c>
      <c r="K618" s="5"/>
      <c r="L618" s="5"/>
    </row>
    <row r="619" customFormat="false" ht="13.35" hidden="false" customHeight="true" outlineLevel="0" collapsed="false">
      <c r="A619" s="2" t="str">
        <f aca="false">HYPERLINK("https://www.fabsurplus.com/sdi_catalog/salesItemDetails.do?id=99405")</f>
        <v>https://www.fabsurplus.com/sdi_catalog/salesItemDetails.do?id=99405</v>
      </c>
      <c r="B619" s="2" t="s">
        <v>1640</v>
      </c>
      <c r="C619" s="2" t="s">
        <v>1641</v>
      </c>
      <c r="D619" s="2" t="s">
        <v>1642</v>
      </c>
      <c r="E619" s="2" t="s">
        <v>1643</v>
      </c>
      <c r="F619" s="2" t="s">
        <v>125</v>
      </c>
      <c r="G619" s="2" t="s">
        <v>1644</v>
      </c>
      <c r="H619" s="2" t="s">
        <v>18</v>
      </c>
      <c r="I619" s="2"/>
      <c r="J619" s="2" t="s">
        <v>19</v>
      </c>
      <c r="K619" s="2" t="s">
        <v>20</v>
      </c>
      <c r="L619" s="4" t="s">
        <v>1645</v>
      </c>
    </row>
    <row r="620" customFormat="false" ht="13.35" hidden="false" customHeight="true" outlineLevel="0" collapsed="false">
      <c r="A620" s="5" t="str">
        <f aca="false">HYPERLINK("https://www.fabsurplus.com/sdi_catalog/salesItemDetails.do?id=99406")</f>
        <v>https://www.fabsurplus.com/sdi_catalog/salesItemDetails.do?id=99406</v>
      </c>
      <c r="B620" s="5" t="s">
        <v>1646</v>
      </c>
      <c r="C620" s="5" t="s">
        <v>1641</v>
      </c>
      <c r="D620" s="5" t="s">
        <v>1647</v>
      </c>
      <c r="E620" s="5" t="s">
        <v>1648</v>
      </c>
      <c r="F620" s="5" t="s">
        <v>16</v>
      </c>
      <c r="G620" s="5" t="s">
        <v>1649</v>
      </c>
      <c r="H620" s="5" t="s">
        <v>18</v>
      </c>
      <c r="I620" s="6" t="n">
        <v>35582</v>
      </c>
      <c r="J620" s="5" t="s">
        <v>19</v>
      </c>
      <c r="K620" s="5" t="s">
        <v>20</v>
      </c>
      <c r="L620" s="7" t="s">
        <v>1650</v>
      </c>
    </row>
    <row r="621" customFormat="false" ht="13.35" hidden="false" customHeight="true" outlineLevel="0" collapsed="false">
      <c r="A621" s="5" t="str">
        <f aca="false">HYPERLINK("https://www.fabsurplus.com/sdi_catalog/salesItemDetails.do?id=95016")</f>
        <v>https://www.fabsurplus.com/sdi_catalog/salesItemDetails.do?id=95016</v>
      </c>
      <c r="B621" s="5" t="s">
        <v>1651</v>
      </c>
      <c r="C621" s="5" t="s">
        <v>1641</v>
      </c>
      <c r="D621" s="5" t="s">
        <v>1652</v>
      </c>
      <c r="E621" s="5" t="s">
        <v>1653</v>
      </c>
      <c r="F621" s="5" t="s">
        <v>16</v>
      </c>
      <c r="G621" s="5"/>
      <c r="H621" s="5" t="s">
        <v>96</v>
      </c>
      <c r="I621" s="5"/>
      <c r="J621" s="5" t="s">
        <v>403</v>
      </c>
      <c r="K621" s="5" t="s">
        <v>809</v>
      </c>
      <c r="L621" s="5"/>
    </row>
    <row r="622" customFormat="false" ht="13.35" hidden="false" customHeight="true" outlineLevel="0" collapsed="false">
      <c r="A622" s="2" t="str">
        <f aca="false">HYPERLINK("https://www.fabsurplus.com/sdi_catalog/salesItemDetails.do?id=99407")</f>
        <v>https://www.fabsurplus.com/sdi_catalog/salesItemDetails.do?id=99407</v>
      </c>
      <c r="B622" s="2" t="s">
        <v>1654</v>
      </c>
      <c r="C622" s="2" t="s">
        <v>1641</v>
      </c>
      <c r="D622" s="2" t="s">
        <v>1655</v>
      </c>
      <c r="E622" s="2" t="s">
        <v>1656</v>
      </c>
      <c r="F622" s="2" t="s">
        <v>16</v>
      </c>
      <c r="G622" s="2" t="s">
        <v>107</v>
      </c>
      <c r="H622" s="2" t="s">
        <v>18</v>
      </c>
      <c r="I622" s="3" t="n">
        <v>38139</v>
      </c>
      <c r="J622" s="2" t="s">
        <v>19</v>
      </c>
      <c r="K622" s="2" t="s">
        <v>20</v>
      </c>
      <c r="L622" s="4" t="s">
        <v>1657</v>
      </c>
    </row>
    <row r="623" customFormat="false" ht="13.35" hidden="false" customHeight="true" outlineLevel="0" collapsed="false">
      <c r="A623" s="2" t="str">
        <f aca="false">HYPERLINK("https://www.fabsurplus.com/sdi_catalog/salesItemDetails.do?id=102587")</f>
        <v>https://www.fabsurplus.com/sdi_catalog/salesItemDetails.do?id=102587</v>
      </c>
      <c r="B623" s="2" t="s">
        <v>1658</v>
      </c>
      <c r="C623" s="2" t="s">
        <v>1641</v>
      </c>
      <c r="D623" s="2" t="s">
        <v>1659</v>
      </c>
      <c r="E623" s="2" t="s">
        <v>1656</v>
      </c>
      <c r="F623" s="2" t="s">
        <v>16</v>
      </c>
      <c r="G623" s="2"/>
      <c r="H623" s="2" t="s">
        <v>26</v>
      </c>
      <c r="I623" s="2"/>
      <c r="J623" s="2" t="s">
        <v>19</v>
      </c>
      <c r="K623" s="2" t="s">
        <v>20</v>
      </c>
      <c r="L623" s="4" t="s">
        <v>1660</v>
      </c>
    </row>
    <row r="624" customFormat="false" ht="13.35" hidden="false" customHeight="true" outlineLevel="0" collapsed="false">
      <c r="A624" s="5" t="str">
        <f aca="false">HYPERLINK("https://www.fabsurplus.com/sdi_catalog/salesItemDetails.do?id=99409")</f>
        <v>https://www.fabsurplus.com/sdi_catalog/salesItemDetails.do?id=99409</v>
      </c>
      <c r="B624" s="5" t="s">
        <v>1661</v>
      </c>
      <c r="C624" s="5" t="s">
        <v>1641</v>
      </c>
      <c r="D624" s="5" t="s">
        <v>1662</v>
      </c>
      <c r="E624" s="5" t="s">
        <v>1663</v>
      </c>
      <c r="F624" s="5" t="s">
        <v>16</v>
      </c>
      <c r="G624" s="5" t="s">
        <v>107</v>
      </c>
      <c r="H624" s="5" t="s">
        <v>18</v>
      </c>
      <c r="I624" s="5"/>
      <c r="J624" s="5" t="s">
        <v>19</v>
      </c>
      <c r="K624" s="5" t="s">
        <v>20</v>
      </c>
      <c r="L624" s="7" t="s">
        <v>1664</v>
      </c>
    </row>
    <row r="625" customFormat="false" ht="13.35" hidden="false" customHeight="true" outlineLevel="0" collapsed="false">
      <c r="A625" s="5" t="str">
        <f aca="false">HYPERLINK("https://www.fabsurplus.com/sdi_catalog/salesItemDetails.do?id=33671")</f>
        <v>https://www.fabsurplus.com/sdi_catalog/salesItemDetails.do?id=33671</v>
      </c>
      <c r="B625" s="5" t="s">
        <v>1665</v>
      </c>
      <c r="C625" s="5" t="s">
        <v>1666</v>
      </c>
      <c r="D625" s="5" t="s">
        <v>1667</v>
      </c>
      <c r="E625" s="5" t="s">
        <v>1668</v>
      </c>
      <c r="F625" s="5" t="s">
        <v>125</v>
      </c>
      <c r="G625" s="5" t="s">
        <v>36</v>
      </c>
      <c r="H625" s="5" t="s">
        <v>26</v>
      </c>
      <c r="I625" s="5"/>
      <c r="J625" s="5" t="s">
        <v>19</v>
      </c>
      <c r="K625" s="5" t="s">
        <v>20</v>
      </c>
      <c r="L625" s="5" t="s">
        <v>1668</v>
      </c>
    </row>
    <row r="626" customFormat="false" ht="13.35" hidden="false" customHeight="true" outlineLevel="0" collapsed="false">
      <c r="A626" s="2" t="str">
        <f aca="false">HYPERLINK("https://www.fabsurplus.com/sdi_catalog/salesItemDetails.do?id=91847")</f>
        <v>https://www.fabsurplus.com/sdi_catalog/salesItemDetails.do?id=91847</v>
      </c>
      <c r="B626" s="2" t="s">
        <v>1669</v>
      </c>
      <c r="C626" s="2" t="s">
        <v>1666</v>
      </c>
      <c r="D626" s="2" t="s">
        <v>1662</v>
      </c>
      <c r="E626" s="2" t="s">
        <v>1670</v>
      </c>
      <c r="F626" s="2" t="s">
        <v>16</v>
      </c>
      <c r="G626" s="2"/>
      <c r="H626" s="2" t="s">
        <v>18</v>
      </c>
      <c r="I626" s="2"/>
      <c r="J626" s="2" t="s">
        <v>47</v>
      </c>
      <c r="K626" s="2" t="s">
        <v>20</v>
      </c>
      <c r="L626" s="4" t="s">
        <v>1671</v>
      </c>
    </row>
    <row r="627" customFormat="false" ht="13.35" hidden="false" customHeight="true" outlineLevel="0" collapsed="false">
      <c r="A627" s="5" t="str">
        <f aca="false">HYPERLINK("https://www.fabsurplus.com/sdi_catalog/salesItemDetails.do?id=103036")</f>
        <v>https://www.fabsurplus.com/sdi_catalog/salesItemDetails.do?id=103036</v>
      </c>
      <c r="B627" s="5" t="s">
        <v>1672</v>
      </c>
      <c r="C627" s="5" t="s">
        <v>1673</v>
      </c>
      <c r="D627" s="5" t="s">
        <v>1674</v>
      </c>
      <c r="E627" s="5" t="s">
        <v>1675</v>
      </c>
      <c r="F627" s="5" t="s">
        <v>16</v>
      </c>
      <c r="G627" s="5"/>
      <c r="H627" s="5"/>
      <c r="I627" s="5"/>
      <c r="J627" s="5" t="s">
        <v>19</v>
      </c>
      <c r="K627" s="5"/>
      <c r="L627" s="7" t="s">
        <v>1676</v>
      </c>
    </row>
    <row r="628" customFormat="false" ht="13.35" hidden="false" customHeight="true" outlineLevel="0" collapsed="false">
      <c r="A628" s="5" t="str">
        <f aca="false">HYPERLINK("https://www.fabsurplus.com/sdi_catalog/salesItemDetails.do?id=102645")</f>
        <v>https://www.fabsurplus.com/sdi_catalog/salesItemDetails.do?id=102645</v>
      </c>
      <c r="B628" s="5" t="s">
        <v>1677</v>
      </c>
      <c r="C628" s="5" t="s">
        <v>1678</v>
      </c>
      <c r="D628" s="5" t="s">
        <v>1679</v>
      </c>
      <c r="E628" s="5" t="s">
        <v>1680</v>
      </c>
      <c r="F628" s="5" t="s">
        <v>16</v>
      </c>
      <c r="G628" s="5"/>
      <c r="H628" s="5" t="s">
        <v>26</v>
      </c>
      <c r="I628" s="5"/>
      <c r="J628" s="5"/>
      <c r="K628" s="5" t="s">
        <v>20</v>
      </c>
      <c r="L628" s="5" t="s">
        <v>1681</v>
      </c>
    </row>
    <row r="629" customFormat="false" ht="13.35" hidden="false" customHeight="true" outlineLevel="0" collapsed="false">
      <c r="A629" s="5" t="str">
        <f aca="false">HYPERLINK("https://www.fabsurplus.com/sdi_catalog/salesItemDetails.do?id=102643")</f>
        <v>https://www.fabsurplus.com/sdi_catalog/salesItemDetails.do?id=102643</v>
      </c>
      <c r="B629" s="5" t="s">
        <v>1682</v>
      </c>
      <c r="C629" s="5" t="s">
        <v>1683</v>
      </c>
      <c r="D629" s="5" t="s">
        <v>1684</v>
      </c>
      <c r="E629" s="5" t="s">
        <v>1685</v>
      </c>
      <c r="F629" s="5" t="s">
        <v>16</v>
      </c>
      <c r="G629" s="5" t="s">
        <v>1686</v>
      </c>
      <c r="H629" s="5" t="s">
        <v>26</v>
      </c>
      <c r="I629" s="6" t="n">
        <v>36312</v>
      </c>
      <c r="J629" s="5" t="s">
        <v>47</v>
      </c>
      <c r="K629" s="5" t="s">
        <v>20</v>
      </c>
      <c r="L629" s="7" t="s">
        <v>1687</v>
      </c>
    </row>
    <row r="630" customFormat="false" ht="13.35" hidden="false" customHeight="true" outlineLevel="0" collapsed="false">
      <c r="A630" s="2" t="str">
        <f aca="false">HYPERLINK("https://www.fabsurplus.com/sdi_catalog/salesItemDetails.do?id=101740")</f>
        <v>https://www.fabsurplus.com/sdi_catalog/salesItemDetails.do?id=101740</v>
      </c>
      <c r="B630" s="2" t="s">
        <v>1688</v>
      </c>
      <c r="C630" s="2" t="s">
        <v>1689</v>
      </c>
      <c r="D630" s="2" t="s">
        <v>1690</v>
      </c>
      <c r="E630" s="2" t="s">
        <v>1691</v>
      </c>
      <c r="F630" s="2" t="s">
        <v>16</v>
      </c>
      <c r="G630" s="2"/>
      <c r="H630" s="2"/>
      <c r="I630" s="3" t="n">
        <v>42186</v>
      </c>
      <c r="J630" s="2" t="s">
        <v>47</v>
      </c>
      <c r="K630" s="2"/>
      <c r="L630" s="2" t="s">
        <v>474</v>
      </c>
    </row>
    <row r="631" customFormat="false" ht="13.35" hidden="false" customHeight="true" outlineLevel="0" collapsed="false">
      <c r="A631" s="5" t="str">
        <f aca="false">HYPERLINK("https://www.fabsurplus.com/sdi_catalog/salesItemDetails.do?id=101741")</f>
        <v>https://www.fabsurplus.com/sdi_catalog/salesItemDetails.do?id=101741</v>
      </c>
      <c r="B631" s="5" t="s">
        <v>1692</v>
      </c>
      <c r="C631" s="5" t="s">
        <v>1689</v>
      </c>
      <c r="D631" s="5" t="s">
        <v>1690</v>
      </c>
      <c r="E631" s="5" t="s">
        <v>1691</v>
      </c>
      <c r="F631" s="5" t="s">
        <v>16</v>
      </c>
      <c r="G631" s="5"/>
      <c r="H631" s="5"/>
      <c r="I631" s="6" t="n">
        <v>42917</v>
      </c>
      <c r="J631" s="5" t="s">
        <v>47</v>
      </c>
      <c r="K631" s="5"/>
      <c r="L631" s="5" t="s">
        <v>474</v>
      </c>
    </row>
    <row r="632" customFormat="false" ht="13.35" hidden="false" customHeight="true" outlineLevel="0" collapsed="false">
      <c r="A632" s="2" t="str">
        <f aca="false">HYPERLINK("https://www.fabsurplus.com/sdi_catalog/salesItemDetails.do?id=100874")</f>
        <v>https://www.fabsurplus.com/sdi_catalog/salesItemDetails.do?id=100874</v>
      </c>
      <c r="B632" s="2" t="s">
        <v>1693</v>
      </c>
      <c r="C632" s="2" t="s">
        <v>1694</v>
      </c>
      <c r="D632" s="2" t="s">
        <v>1695</v>
      </c>
      <c r="E632" s="2" t="s">
        <v>1696</v>
      </c>
      <c r="F632" s="2" t="s">
        <v>16</v>
      </c>
      <c r="G632" s="2"/>
      <c r="H632" s="2" t="s">
        <v>96</v>
      </c>
      <c r="I632" s="2"/>
      <c r="J632" s="2" t="s">
        <v>403</v>
      </c>
      <c r="K632" s="2" t="s">
        <v>809</v>
      </c>
      <c r="L632" s="4" t="s">
        <v>1697</v>
      </c>
    </row>
    <row r="633" customFormat="false" ht="13.35" hidden="false" customHeight="true" outlineLevel="0" collapsed="false">
      <c r="A633" s="5" t="str">
        <f aca="false">HYPERLINK("https://www.fabsurplus.com/sdi_catalog/salesItemDetails.do?id=55911")</f>
        <v>https://www.fabsurplus.com/sdi_catalog/salesItemDetails.do?id=55911</v>
      </c>
      <c r="B633" s="5" t="s">
        <v>1698</v>
      </c>
      <c r="C633" s="5" t="s">
        <v>1699</v>
      </c>
      <c r="D633" s="5" t="s">
        <v>1700</v>
      </c>
      <c r="E633" s="5" t="s">
        <v>1701</v>
      </c>
      <c r="F633" s="5" t="s">
        <v>16</v>
      </c>
      <c r="G633" s="5"/>
      <c r="H633" s="5"/>
      <c r="I633" s="5"/>
      <c r="J633" s="5" t="s">
        <v>19</v>
      </c>
      <c r="K633" s="5"/>
      <c r="L633" s="5"/>
    </row>
    <row r="634" customFormat="false" ht="13.35" hidden="false" customHeight="true" outlineLevel="0" collapsed="false">
      <c r="A634" s="2" t="str">
        <f aca="false">HYPERLINK("https://www.fabsurplus.com/sdi_catalog/salesItemDetails.do?id=99549")</f>
        <v>https://www.fabsurplus.com/sdi_catalog/salesItemDetails.do?id=99549</v>
      </c>
      <c r="B634" s="2" t="s">
        <v>1702</v>
      </c>
      <c r="C634" s="2" t="s">
        <v>1699</v>
      </c>
      <c r="D634" s="2" t="s">
        <v>1703</v>
      </c>
      <c r="E634" s="2" t="s">
        <v>1704</v>
      </c>
      <c r="F634" s="2" t="s">
        <v>16</v>
      </c>
      <c r="G634" s="2" t="s">
        <v>1705</v>
      </c>
      <c r="H634" s="2" t="s">
        <v>26</v>
      </c>
      <c r="I634" s="2"/>
      <c r="J634" s="2" t="s">
        <v>47</v>
      </c>
      <c r="K634" s="2"/>
      <c r="L634" s="4" t="s">
        <v>1706</v>
      </c>
    </row>
    <row r="635" customFormat="false" ht="13.35" hidden="false" customHeight="true" outlineLevel="0" collapsed="false">
      <c r="A635" s="5" t="str">
        <f aca="false">HYPERLINK("https://www.fabsurplus.com/sdi_catalog/salesItemDetails.do?id=103026")</f>
        <v>https://www.fabsurplus.com/sdi_catalog/salesItemDetails.do?id=103026</v>
      </c>
      <c r="B635" s="5" t="s">
        <v>1707</v>
      </c>
      <c r="C635" s="5" t="s">
        <v>1708</v>
      </c>
      <c r="D635" s="5" t="s">
        <v>1709</v>
      </c>
      <c r="E635" s="5" t="s">
        <v>1710</v>
      </c>
      <c r="F635" s="5" t="s">
        <v>16</v>
      </c>
      <c r="G635" s="5"/>
      <c r="H635" s="5"/>
      <c r="I635" s="5"/>
      <c r="J635" s="5" t="s">
        <v>19</v>
      </c>
      <c r="K635" s="5"/>
      <c r="L635" s="7" t="s">
        <v>1711</v>
      </c>
    </row>
    <row r="636" customFormat="false" ht="13.35" hidden="false" customHeight="true" outlineLevel="0" collapsed="false">
      <c r="A636" s="2" t="str">
        <f aca="false">HYPERLINK("https://www.fabsurplus.com/sdi_catalog/salesItemDetails.do?id=99933")</f>
        <v>https://www.fabsurplus.com/sdi_catalog/salesItemDetails.do?id=99933</v>
      </c>
      <c r="B636" s="2" t="s">
        <v>1712</v>
      </c>
      <c r="C636" s="2" t="s">
        <v>1713</v>
      </c>
      <c r="D636" s="2" t="s">
        <v>1714</v>
      </c>
      <c r="E636" s="2" t="s">
        <v>1715</v>
      </c>
      <c r="F636" s="2" t="s">
        <v>16</v>
      </c>
      <c r="G636" s="2" t="s">
        <v>88</v>
      </c>
      <c r="H636" s="2"/>
      <c r="I636" s="2"/>
      <c r="J636" s="2" t="s">
        <v>19</v>
      </c>
      <c r="K636" s="2"/>
      <c r="L636" s="2"/>
    </row>
    <row r="637" customFormat="false" ht="13.35" hidden="false" customHeight="true" outlineLevel="0" collapsed="false">
      <c r="A637" s="5" t="str">
        <f aca="false">HYPERLINK("https://www.fabsurplus.com/sdi_catalog/salesItemDetails.do?id=99932")</f>
        <v>https://www.fabsurplus.com/sdi_catalog/salesItemDetails.do?id=99932</v>
      </c>
      <c r="B637" s="5" t="s">
        <v>1716</v>
      </c>
      <c r="C637" s="5" t="s">
        <v>1713</v>
      </c>
      <c r="D637" s="5" t="s">
        <v>1714</v>
      </c>
      <c r="E637" s="5" t="s">
        <v>1717</v>
      </c>
      <c r="F637" s="5" t="s">
        <v>16</v>
      </c>
      <c r="G637" s="5" t="s">
        <v>88</v>
      </c>
      <c r="H637" s="5"/>
      <c r="I637" s="5"/>
      <c r="J637" s="5" t="s">
        <v>19</v>
      </c>
      <c r="K637" s="5"/>
      <c r="L637" s="5"/>
    </row>
    <row r="638" customFormat="false" ht="13.35" hidden="false" customHeight="true" outlineLevel="0" collapsed="false">
      <c r="A638" s="5" t="str">
        <f aca="false">HYPERLINK("https://www.fabsurplus.com/sdi_catalog/salesItemDetails.do?id=99934")</f>
        <v>https://www.fabsurplus.com/sdi_catalog/salesItemDetails.do?id=99934</v>
      </c>
      <c r="B638" s="5" t="s">
        <v>1718</v>
      </c>
      <c r="C638" s="5" t="s">
        <v>1713</v>
      </c>
      <c r="D638" s="5" t="s">
        <v>1719</v>
      </c>
      <c r="E638" s="5" t="s">
        <v>1720</v>
      </c>
      <c r="F638" s="5" t="s">
        <v>16</v>
      </c>
      <c r="G638" s="5" t="s">
        <v>88</v>
      </c>
      <c r="H638" s="5"/>
      <c r="I638" s="5"/>
      <c r="J638" s="5" t="s">
        <v>19</v>
      </c>
      <c r="K638" s="5"/>
      <c r="L638" s="5"/>
    </row>
    <row r="639" customFormat="false" ht="13.35" hidden="false" customHeight="true" outlineLevel="0" collapsed="false">
      <c r="A639" s="2" t="str">
        <f aca="false">HYPERLINK("https://www.fabsurplus.com/sdi_catalog/salesItemDetails.do?id=99935")</f>
        <v>https://www.fabsurplus.com/sdi_catalog/salesItemDetails.do?id=99935</v>
      </c>
      <c r="B639" s="2" t="s">
        <v>1721</v>
      </c>
      <c r="C639" s="2" t="s">
        <v>1713</v>
      </c>
      <c r="D639" s="2" t="s">
        <v>1722</v>
      </c>
      <c r="E639" s="2" t="s">
        <v>1723</v>
      </c>
      <c r="F639" s="2" t="s">
        <v>16</v>
      </c>
      <c r="G639" s="2" t="s">
        <v>88</v>
      </c>
      <c r="H639" s="2"/>
      <c r="I639" s="2"/>
      <c r="J639" s="2" t="s">
        <v>19</v>
      </c>
      <c r="K639" s="2"/>
      <c r="L639" s="2"/>
    </row>
    <row r="640" customFormat="false" ht="13.35" hidden="false" customHeight="true" outlineLevel="0" collapsed="false">
      <c r="A640" s="5" t="str">
        <f aca="false">HYPERLINK("https://www.fabsurplus.com/sdi_catalog/salesItemDetails.do?id=99936")</f>
        <v>https://www.fabsurplus.com/sdi_catalog/salesItemDetails.do?id=99936</v>
      </c>
      <c r="B640" s="5" t="s">
        <v>1724</v>
      </c>
      <c r="C640" s="5" t="s">
        <v>1713</v>
      </c>
      <c r="D640" s="5" t="s">
        <v>1725</v>
      </c>
      <c r="E640" s="5" t="s">
        <v>1726</v>
      </c>
      <c r="F640" s="5" t="s">
        <v>16</v>
      </c>
      <c r="G640" s="5" t="s">
        <v>88</v>
      </c>
      <c r="H640" s="5"/>
      <c r="I640" s="5"/>
      <c r="J640" s="5" t="s">
        <v>19</v>
      </c>
      <c r="K640" s="5"/>
      <c r="L640" s="5"/>
    </row>
    <row r="641" customFormat="false" ht="13.35" hidden="false" customHeight="true" outlineLevel="0" collapsed="false">
      <c r="A641" s="2" t="str">
        <f aca="false">HYPERLINK("https://www.fabsurplus.com/sdi_catalog/salesItemDetails.do?id=99931")</f>
        <v>https://www.fabsurplus.com/sdi_catalog/salesItemDetails.do?id=99931</v>
      </c>
      <c r="B641" s="2" t="s">
        <v>1727</v>
      </c>
      <c r="C641" s="2" t="s">
        <v>1713</v>
      </c>
      <c r="D641" s="2" t="s">
        <v>1728</v>
      </c>
      <c r="E641" s="2" t="s">
        <v>1720</v>
      </c>
      <c r="F641" s="2" t="s">
        <v>16</v>
      </c>
      <c r="G641" s="2" t="s">
        <v>88</v>
      </c>
      <c r="H641" s="2"/>
      <c r="I641" s="2"/>
      <c r="J641" s="2" t="s">
        <v>19</v>
      </c>
      <c r="K641" s="2"/>
      <c r="L641" s="2"/>
    </row>
    <row r="642" customFormat="false" ht="13.35" hidden="false" customHeight="true" outlineLevel="0" collapsed="false">
      <c r="A642" s="2" t="str">
        <f aca="false">HYPERLINK("https://www.fabsurplus.com/sdi_catalog/salesItemDetails.do?id=101839")</f>
        <v>https://www.fabsurplus.com/sdi_catalog/salesItemDetails.do?id=101839</v>
      </c>
      <c r="B642" s="2" t="s">
        <v>1729</v>
      </c>
      <c r="C642" s="2" t="s">
        <v>1730</v>
      </c>
      <c r="D642" s="2" t="s">
        <v>1731</v>
      </c>
      <c r="E642" s="2" t="s">
        <v>1732</v>
      </c>
      <c r="F642" s="2" t="s">
        <v>16</v>
      </c>
      <c r="G642" s="2" t="s">
        <v>154</v>
      </c>
      <c r="H642" s="2" t="s">
        <v>18</v>
      </c>
      <c r="I642" s="2"/>
      <c r="J642" s="2" t="s">
        <v>19</v>
      </c>
      <c r="K642" s="2" t="s">
        <v>20</v>
      </c>
      <c r="L642" s="4" t="s">
        <v>1733</v>
      </c>
    </row>
    <row r="643" customFormat="false" ht="13.35" hidden="false" customHeight="true" outlineLevel="0" collapsed="false">
      <c r="A643" s="2" t="str">
        <f aca="false">HYPERLINK("https://www.fabsurplus.com/sdi_catalog/salesItemDetails.do?id=98454")</f>
        <v>https://www.fabsurplus.com/sdi_catalog/salesItemDetails.do?id=98454</v>
      </c>
      <c r="B643" s="2" t="s">
        <v>1734</v>
      </c>
      <c r="C643" s="2" t="s">
        <v>1730</v>
      </c>
      <c r="D643" s="2" t="s">
        <v>1735</v>
      </c>
      <c r="E643" s="2" t="s">
        <v>1736</v>
      </c>
      <c r="F643" s="2" t="s">
        <v>16</v>
      </c>
      <c r="G643" s="2" t="s">
        <v>1737</v>
      </c>
      <c r="H643" s="2" t="s">
        <v>96</v>
      </c>
      <c r="I643" s="3" t="n">
        <v>37561</v>
      </c>
      <c r="J643" s="2" t="s">
        <v>19</v>
      </c>
      <c r="K643" s="2" t="s">
        <v>20</v>
      </c>
      <c r="L643" s="4" t="s">
        <v>1738</v>
      </c>
    </row>
    <row r="644" customFormat="false" ht="13.35" hidden="false" customHeight="true" outlineLevel="0" collapsed="false">
      <c r="A644" s="5" t="str">
        <f aca="false">HYPERLINK("https://www.fabsurplus.com/sdi_catalog/salesItemDetails.do?id=98455")</f>
        <v>https://www.fabsurplus.com/sdi_catalog/salesItemDetails.do?id=98455</v>
      </c>
      <c r="B644" s="5" t="s">
        <v>1739</v>
      </c>
      <c r="C644" s="5" t="s">
        <v>1730</v>
      </c>
      <c r="D644" s="5" t="s">
        <v>1740</v>
      </c>
      <c r="E644" s="5" t="s">
        <v>1741</v>
      </c>
      <c r="F644" s="5" t="s">
        <v>125</v>
      </c>
      <c r="G644" s="5" t="s">
        <v>1737</v>
      </c>
      <c r="H644" s="5" t="s">
        <v>18</v>
      </c>
      <c r="I644" s="5"/>
      <c r="J644" s="5" t="s">
        <v>19</v>
      </c>
      <c r="K644" s="5" t="s">
        <v>20</v>
      </c>
      <c r="L644" s="7" t="s">
        <v>1742</v>
      </c>
    </row>
    <row r="645" customFormat="false" ht="13.35" hidden="false" customHeight="true" outlineLevel="0" collapsed="false">
      <c r="A645" s="2" t="str">
        <f aca="false">HYPERLINK("https://www.fabsurplus.com/sdi_catalog/salesItemDetails.do?id=103024")</f>
        <v>https://www.fabsurplus.com/sdi_catalog/salesItemDetails.do?id=103024</v>
      </c>
      <c r="B645" s="2" t="s">
        <v>1743</v>
      </c>
      <c r="C645" s="2" t="s">
        <v>1730</v>
      </c>
      <c r="D645" s="2" t="s">
        <v>1744</v>
      </c>
      <c r="E645" s="2" t="s">
        <v>1745</v>
      </c>
      <c r="F645" s="2" t="s">
        <v>16</v>
      </c>
      <c r="G645" s="2" t="s">
        <v>154</v>
      </c>
      <c r="H645" s="2"/>
      <c r="I645" s="2"/>
      <c r="J645" s="2" t="s">
        <v>19</v>
      </c>
      <c r="K645" s="2"/>
      <c r="L645" s="2" t="s">
        <v>1746</v>
      </c>
    </row>
    <row r="646" customFormat="false" ht="13.35" hidden="false" customHeight="true" outlineLevel="0" collapsed="false">
      <c r="A646" s="2" t="str">
        <f aca="false">HYPERLINK("https://www.fabsurplus.com/sdi_catalog/salesItemDetails.do?id=87556")</f>
        <v>https://www.fabsurplus.com/sdi_catalog/salesItemDetails.do?id=87556</v>
      </c>
      <c r="B646" s="2" t="s">
        <v>1747</v>
      </c>
      <c r="C646" s="2" t="s">
        <v>1730</v>
      </c>
      <c r="D646" s="2" t="s">
        <v>1748</v>
      </c>
      <c r="E646" s="2" t="s">
        <v>1749</v>
      </c>
      <c r="F646" s="2" t="s">
        <v>16</v>
      </c>
      <c r="G646" s="2" t="s">
        <v>149</v>
      </c>
      <c r="H646" s="2" t="s">
        <v>96</v>
      </c>
      <c r="I646" s="2"/>
      <c r="J646" s="2" t="s">
        <v>19</v>
      </c>
      <c r="K646" s="2" t="s">
        <v>20</v>
      </c>
      <c r="L646" s="4" t="s">
        <v>1750</v>
      </c>
    </row>
    <row r="647" customFormat="false" ht="13.35" hidden="false" customHeight="true" outlineLevel="0" collapsed="false">
      <c r="A647" s="5" t="str">
        <f aca="false">HYPERLINK("https://www.fabsurplus.com/sdi_catalog/salesItemDetails.do?id=101642")</f>
        <v>https://www.fabsurplus.com/sdi_catalog/salesItemDetails.do?id=101642</v>
      </c>
      <c r="B647" s="5" t="s">
        <v>1751</v>
      </c>
      <c r="C647" s="5" t="s">
        <v>1730</v>
      </c>
      <c r="D647" s="5" t="s">
        <v>1752</v>
      </c>
      <c r="E647" s="5" t="s">
        <v>1745</v>
      </c>
      <c r="F647" s="5" t="s">
        <v>16</v>
      </c>
      <c r="G647" s="5" t="s">
        <v>154</v>
      </c>
      <c r="H647" s="5"/>
      <c r="I647" s="5"/>
      <c r="J647" s="5" t="s">
        <v>19</v>
      </c>
      <c r="K647" s="5"/>
      <c r="L647" s="5"/>
    </row>
    <row r="648" customFormat="false" ht="13.35" hidden="false" customHeight="true" outlineLevel="0" collapsed="false">
      <c r="A648" s="5" t="str">
        <f aca="false">HYPERLINK("https://www.fabsurplus.com/sdi_catalog/salesItemDetails.do?id=98451")</f>
        <v>https://www.fabsurplus.com/sdi_catalog/salesItemDetails.do?id=98451</v>
      </c>
      <c r="B648" s="5" t="s">
        <v>1753</v>
      </c>
      <c r="C648" s="5" t="s">
        <v>1754</v>
      </c>
      <c r="D648" s="5" t="s">
        <v>1755</v>
      </c>
      <c r="E648" s="5" t="s">
        <v>1756</v>
      </c>
      <c r="F648" s="5" t="s">
        <v>366</v>
      </c>
      <c r="G648" s="5" t="s">
        <v>1737</v>
      </c>
      <c r="H648" s="5" t="s">
        <v>18</v>
      </c>
      <c r="I648" s="6" t="n">
        <v>38078</v>
      </c>
      <c r="J648" s="5" t="s">
        <v>19</v>
      </c>
      <c r="K648" s="5" t="s">
        <v>20</v>
      </c>
      <c r="L648" s="7" t="s">
        <v>1757</v>
      </c>
    </row>
    <row r="649" customFormat="false" ht="13.35" hidden="false" customHeight="true" outlineLevel="0" collapsed="false">
      <c r="A649" s="2" t="str">
        <f aca="false">HYPERLINK("https://www.fabsurplus.com/sdi_catalog/salesItemDetails.do?id=98452")</f>
        <v>https://www.fabsurplus.com/sdi_catalog/salesItemDetails.do?id=98452</v>
      </c>
      <c r="B649" s="2" t="s">
        <v>1758</v>
      </c>
      <c r="C649" s="2" t="s">
        <v>1754</v>
      </c>
      <c r="D649" s="2" t="s">
        <v>1759</v>
      </c>
      <c r="E649" s="2" t="s">
        <v>1756</v>
      </c>
      <c r="F649" s="2" t="s">
        <v>125</v>
      </c>
      <c r="G649" s="2" t="s">
        <v>1737</v>
      </c>
      <c r="H649" s="2" t="s">
        <v>26</v>
      </c>
      <c r="I649" s="2"/>
      <c r="J649" s="2" t="s">
        <v>19</v>
      </c>
      <c r="K649" s="2" t="s">
        <v>20</v>
      </c>
      <c r="L649" s="4" t="s">
        <v>1760</v>
      </c>
    </row>
    <row r="650" customFormat="false" ht="13.35" hidden="false" customHeight="true" outlineLevel="0" collapsed="false">
      <c r="A650" s="5" t="str">
        <f aca="false">HYPERLINK("https://www.fabsurplus.com/sdi_catalog/salesItemDetails.do?id=98453")</f>
        <v>https://www.fabsurplus.com/sdi_catalog/salesItemDetails.do?id=98453</v>
      </c>
      <c r="B650" s="5" t="s">
        <v>1761</v>
      </c>
      <c r="C650" s="5" t="s">
        <v>1754</v>
      </c>
      <c r="D650" s="5" t="s">
        <v>1762</v>
      </c>
      <c r="E650" s="5" t="s">
        <v>1763</v>
      </c>
      <c r="F650" s="5" t="s">
        <v>366</v>
      </c>
      <c r="G650" s="5" t="s">
        <v>1737</v>
      </c>
      <c r="H650" s="5" t="s">
        <v>18</v>
      </c>
      <c r="I650" s="5"/>
      <c r="J650" s="5" t="s">
        <v>19</v>
      </c>
      <c r="K650" s="5" t="s">
        <v>20</v>
      </c>
      <c r="L650" s="5" t="s">
        <v>1417</v>
      </c>
    </row>
    <row r="651" customFormat="false" ht="13.35" hidden="false" customHeight="true" outlineLevel="0" collapsed="false">
      <c r="A651" s="2" t="str">
        <f aca="false">HYPERLINK("https://www.fabsurplus.com/sdi_catalog/salesItemDetails.do?id=98458")</f>
        <v>https://www.fabsurplus.com/sdi_catalog/salesItemDetails.do?id=98458</v>
      </c>
      <c r="B651" s="2" t="s">
        <v>1764</v>
      </c>
      <c r="C651" s="2" t="s">
        <v>1754</v>
      </c>
      <c r="D651" s="2" t="s">
        <v>1765</v>
      </c>
      <c r="E651" s="2" t="s">
        <v>1766</v>
      </c>
      <c r="F651" s="2" t="s">
        <v>176</v>
      </c>
      <c r="G651" s="2" t="s">
        <v>658</v>
      </c>
      <c r="H651" s="2" t="s">
        <v>18</v>
      </c>
      <c r="I651" s="2"/>
      <c r="J651" s="2" t="s">
        <v>19</v>
      </c>
      <c r="K651" s="2" t="s">
        <v>20</v>
      </c>
      <c r="L651" s="2" t="s">
        <v>1417</v>
      </c>
    </row>
    <row r="652" customFormat="false" ht="13.35" hidden="false" customHeight="true" outlineLevel="0" collapsed="false">
      <c r="A652" s="5" t="str">
        <f aca="false">HYPERLINK("https://www.fabsurplus.com/sdi_catalog/salesItemDetails.do?id=87555")</f>
        <v>https://www.fabsurplus.com/sdi_catalog/salesItemDetails.do?id=87555</v>
      </c>
      <c r="B652" s="5" t="s">
        <v>1767</v>
      </c>
      <c r="C652" s="5" t="s">
        <v>1768</v>
      </c>
      <c r="D652" s="5" t="s">
        <v>1769</v>
      </c>
      <c r="E652" s="5" t="s">
        <v>1770</v>
      </c>
      <c r="F652" s="5" t="s">
        <v>16</v>
      </c>
      <c r="G652" s="5" t="s">
        <v>149</v>
      </c>
      <c r="H652" s="5" t="s">
        <v>18</v>
      </c>
      <c r="I652" s="5"/>
      <c r="J652" s="5" t="s">
        <v>19</v>
      </c>
      <c r="K652" s="5" t="s">
        <v>20</v>
      </c>
      <c r="L652" s="5"/>
    </row>
    <row r="653" customFormat="false" ht="13.35" hidden="false" customHeight="true" outlineLevel="0" collapsed="false">
      <c r="A653" s="2" t="str">
        <f aca="false">HYPERLINK("https://www.fabsurplus.com/sdi_catalog/salesItemDetails.do?id=98449")</f>
        <v>https://www.fabsurplus.com/sdi_catalog/salesItemDetails.do?id=98449</v>
      </c>
      <c r="B653" s="2" t="s">
        <v>1771</v>
      </c>
      <c r="C653" s="2" t="s">
        <v>1772</v>
      </c>
      <c r="D653" s="2" t="s">
        <v>1773</v>
      </c>
      <c r="E653" s="2" t="s">
        <v>1756</v>
      </c>
      <c r="F653" s="2" t="s">
        <v>58</v>
      </c>
      <c r="G653" s="2" t="s">
        <v>1737</v>
      </c>
      <c r="H653" s="2"/>
      <c r="I653" s="2"/>
      <c r="J653" s="2" t="s">
        <v>19</v>
      </c>
      <c r="K653" s="2"/>
      <c r="L653" s="2" t="s">
        <v>1417</v>
      </c>
    </row>
    <row r="654" customFormat="false" ht="13.35" hidden="false" customHeight="true" outlineLevel="0" collapsed="false">
      <c r="A654" s="5" t="str">
        <f aca="false">HYPERLINK("https://www.fabsurplus.com/sdi_catalog/salesItemDetails.do?id=98450")</f>
        <v>https://www.fabsurplus.com/sdi_catalog/salesItemDetails.do?id=98450</v>
      </c>
      <c r="B654" s="5" t="s">
        <v>1774</v>
      </c>
      <c r="C654" s="5" t="s">
        <v>1772</v>
      </c>
      <c r="D654" s="5" t="s">
        <v>1775</v>
      </c>
      <c r="E654" s="5" t="s">
        <v>1756</v>
      </c>
      <c r="F654" s="5" t="s">
        <v>125</v>
      </c>
      <c r="G654" s="5" t="s">
        <v>1737</v>
      </c>
      <c r="H654" s="5"/>
      <c r="I654" s="5"/>
      <c r="J654" s="5" t="s">
        <v>19</v>
      </c>
      <c r="K654" s="5"/>
      <c r="L654" s="5" t="s">
        <v>1417</v>
      </c>
    </row>
    <row r="655" customFormat="false" ht="13.35" hidden="false" customHeight="true" outlineLevel="0" collapsed="false">
      <c r="A655" s="2" t="str">
        <f aca="false">HYPERLINK("https://www.fabsurplus.com/sdi_catalog/salesItemDetails.do?id=102553")</f>
        <v>https://www.fabsurplus.com/sdi_catalog/salesItemDetails.do?id=102553</v>
      </c>
      <c r="B655" s="2" t="s">
        <v>1776</v>
      </c>
      <c r="C655" s="2" t="s">
        <v>1772</v>
      </c>
      <c r="D655" s="2" t="s">
        <v>1735</v>
      </c>
      <c r="E655" s="2" t="s">
        <v>1763</v>
      </c>
      <c r="F655" s="2" t="s">
        <v>125</v>
      </c>
      <c r="G655" s="2" t="s">
        <v>1737</v>
      </c>
      <c r="H655" s="2"/>
      <c r="I655" s="2"/>
      <c r="J655" s="2" t="s">
        <v>47</v>
      </c>
      <c r="K655" s="2"/>
      <c r="L655" s="2"/>
    </row>
    <row r="656" customFormat="false" ht="13.35" hidden="false" customHeight="true" outlineLevel="0" collapsed="false">
      <c r="A656" s="5" t="str">
        <f aca="false">HYPERLINK("https://www.fabsurplus.com/sdi_catalog/salesItemDetails.do?id=102554")</f>
        <v>https://www.fabsurplus.com/sdi_catalog/salesItemDetails.do?id=102554</v>
      </c>
      <c r="B656" s="5" t="s">
        <v>1777</v>
      </c>
      <c r="C656" s="5" t="s">
        <v>1772</v>
      </c>
      <c r="D656" s="5" t="s">
        <v>1778</v>
      </c>
      <c r="E656" s="5" t="s">
        <v>1779</v>
      </c>
      <c r="F656" s="5" t="s">
        <v>51</v>
      </c>
      <c r="G656" s="5" t="s">
        <v>1780</v>
      </c>
      <c r="H656" s="5"/>
      <c r="I656" s="5"/>
      <c r="J656" s="5" t="s">
        <v>47</v>
      </c>
      <c r="K656" s="5"/>
      <c r="L656" s="5"/>
    </row>
    <row r="657" customFormat="false" ht="13.35" hidden="false" customHeight="true" outlineLevel="0" collapsed="false">
      <c r="A657" s="2" t="str">
        <f aca="false">HYPERLINK("https://www.fabsurplus.com/sdi_catalog/salesItemDetails.do?id=102555")</f>
        <v>https://www.fabsurplus.com/sdi_catalog/salesItemDetails.do?id=102555</v>
      </c>
      <c r="B657" s="2" t="s">
        <v>1781</v>
      </c>
      <c r="C657" s="2" t="s">
        <v>1772</v>
      </c>
      <c r="D657" s="2" t="s">
        <v>1782</v>
      </c>
      <c r="E657" s="2" t="s">
        <v>1783</v>
      </c>
      <c r="F657" s="2" t="s">
        <v>176</v>
      </c>
      <c r="G657" s="2" t="s">
        <v>1780</v>
      </c>
      <c r="H657" s="2"/>
      <c r="I657" s="2"/>
      <c r="J657" s="2" t="s">
        <v>47</v>
      </c>
      <c r="K657" s="2"/>
      <c r="L657" s="2"/>
    </row>
    <row r="658" customFormat="false" ht="13.35" hidden="false" customHeight="true" outlineLevel="0" collapsed="false">
      <c r="A658" s="5" t="str">
        <f aca="false">HYPERLINK("https://www.fabsurplus.com/sdi_catalog/salesItemDetails.do?id=102556")</f>
        <v>https://www.fabsurplus.com/sdi_catalog/salesItemDetails.do?id=102556</v>
      </c>
      <c r="B658" s="5" t="s">
        <v>1784</v>
      </c>
      <c r="C658" s="5" t="s">
        <v>1772</v>
      </c>
      <c r="D658" s="5" t="s">
        <v>1740</v>
      </c>
      <c r="E658" s="5" t="s">
        <v>1741</v>
      </c>
      <c r="F658" s="5" t="s">
        <v>125</v>
      </c>
      <c r="G658" s="5" t="s">
        <v>1737</v>
      </c>
      <c r="H658" s="5"/>
      <c r="I658" s="5"/>
      <c r="J658" s="5" t="s">
        <v>47</v>
      </c>
      <c r="K658" s="5"/>
      <c r="L658" s="5"/>
    </row>
    <row r="659" customFormat="false" ht="13.35" hidden="false" customHeight="true" outlineLevel="0" collapsed="false">
      <c r="A659" s="2" t="str">
        <f aca="false">HYPERLINK("https://www.fabsurplus.com/sdi_catalog/salesItemDetails.do?id=98456")</f>
        <v>https://www.fabsurplus.com/sdi_catalog/salesItemDetails.do?id=98456</v>
      </c>
      <c r="B659" s="2" t="s">
        <v>1785</v>
      </c>
      <c r="C659" s="2" t="s">
        <v>1772</v>
      </c>
      <c r="D659" s="2" t="s">
        <v>1786</v>
      </c>
      <c r="E659" s="2" t="s">
        <v>1787</v>
      </c>
      <c r="F659" s="2" t="s">
        <v>16</v>
      </c>
      <c r="G659" s="2" t="s">
        <v>658</v>
      </c>
      <c r="H659" s="2"/>
      <c r="I659" s="2"/>
      <c r="J659" s="2" t="s">
        <v>19</v>
      </c>
      <c r="K659" s="2"/>
      <c r="L659" s="2" t="s">
        <v>1417</v>
      </c>
    </row>
    <row r="660" customFormat="false" ht="13.35" hidden="false" customHeight="true" outlineLevel="0" collapsed="false">
      <c r="A660" s="5" t="str">
        <f aca="false">HYPERLINK("https://www.fabsurplus.com/sdi_catalog/salesItemDetails.do?id=98457")</f>
        <v>https://www.fabsurplus.com/sdi_catalog/salesItemDetails.do?id=98457</v>
      </c>
      <c r="B660" s="5" t="s">
        <v>1788</v>
      </c>
      <c r="C660" s="5" t="s">
        <v>1772</v>
      </c>
      <c r="D660" s="5" t="s">
        <v>1789</v>
      </c>
      <c r="E660" s="5" t="s">
        <v>1766</v>
      </c>
      <c r="F660" s="5" t="s">
        <v>58</v>
      </c>
      <c r="G660" s="5" t="s">
        <v>862</v>
      </c>
      <c r="H660" s="5"/>
      <c r="I660" s="5"/>
      <c r="J660" s="5" t="s">
        <v>19</v>
      </c>
      <c r="K660" s="5"/>
      <c r="L660" s="5" t="s">
        <v>1417</v>
      </c>
    </row>
    <row r="661" customFormat="false" ht="13.35" hidden="false" customHeight="true" outlineLevel="0" collapsed="false">
      <c r="A661" s="2" t="str">
        <f aca="false">HYPERLINK("https://www.fabsurplus.com/sdi_catalog/salesItemDetails.do?id=102557")</f>
        <v>https://www.fabsurplus.com/sdi_catalog/salesItemDetails.do?id=102557</v>
      </c>
      <c r="B661" s="2" t="s">
        <v>1790</v>
      </c>
      <c r="C661" s="2" t="s">
        <v>1772</v>
      </c>
      <c r="D661" s="2" t="s">
        <v>1791</v>
      </c>
      <c r="E661" s="2" t="s">
        <v>1792</v>
      </c>
      <c r="F661" s="2" t="s">
        <v>16</v>
      </c>
      <c r="G661" s="2" t="s">
        <v>862</v>
      </c>
      <c r="H661" s="2"/>
      <c r="I661" s="2"/>
      <c r="J661" s="2" t="s">
        <v>47</v>
      </c>
      <c r="K661" s="2"/>
      <c r="L661" s="2"/>
    </row>
    <row r="662" customFormat="false" ht="13.35" hidden="false" customHeight="true" outlineLevel="0" collapsed="false">
      <c r="A662" s="5" t="str">
        <f aca="false">HYPERLINK("https://www.fabsurplus.com/sdi_catalog/salesItemDetails.do?id=102148")</f>
        <v>https://www.fabsurplus.com/sdi_catalog/salesItemDetails.do?id=102148</v>
      </c>
      <c r="B662" s="5" t="s">
        <v>1793</v>
      </c>
      <c r="C662" s="5" t="s">
        <v>1794</v>
      </c>
      <c r="D662" s="5" t="s">
        <v>1795</v>
      </c>
      <c r="E662" s="5" t="s">
        <v>1796</v>
      </c>
      <c r="F662" s="5" t="s">
        <v>16</v>
      </c>
      <c r="G662" s="5" t="s">
        <v>17</v>
      </c>
      <c r="H662" s="5"/>
      <c r="I662" s="6" t="n">
        <v>42156</v>
      </c>
      <c r="J662" s="5" t="s">
        <v>19</v>
      </c>
      <c r="K662" s="5"/>
      <c r="L662" s="5"/>
    </row>
    <row r="663" customFormat="false" ht="13.35" hidden="false" customHeight="true" outlineLevel="0" collapsed="false">
      <c r="A663" s="2" t="str">
        <f aca="false">HYPERLINK("https://www.fabsurplus.com/sdi_catalog/salesItemDetails.do?id=97850")</f>
        <v>https://www.fabsurplus.com/sdi_catalog/salesItemDetails.do?id=97850</v>
      </c>
      <c r="B663" s="2" t="s">
        <v>1797</v>
      </c>
      <c r="C663" s="2" t="s">
        <v>1794</v>
      </c>
      <c r="D663" s="2" t="s">
        <v>1798</v>
      </c>
      <c r="E663" s="2" t="s">
        <v>1799</v>
      </c>
      <c r="F663" s="2" t="s">
        <v>16</v>
      </c>
      <c r="G663" s="2"/>
      <c r="H663" s="2"/>
      <c r="I663" s="2"/>
      <c r="J663" s="2" t="s">
        <v>19</v>
      </c>
      <c r="K663" s="2"/>
      <c r="L663" s="2"/>
    </row>
    <row r="664" customFormat="false" ht="13.35" hidden="false" customHeight="true" outlineLevel="0" collapsed="false">
      <c r="A664" s="2" t="str">
        <f aca="false">HYPERLINK("https://www.fabsurplus.com/sdi_catalog/salesItemDetails.do?id=102149")</f>
        <v>https://www.fabsurplus.com/sdi_catalog/salesItemDetails.do?id=102149</v>
      </c>
      <c r="B664" s="2" t="s">
        <v>1800</v>
      </c>
      <c r="C664" s="2" t="s">
        <v>1794</v>
      </c>
      <c r="D664" s="2" t="s">
        <v>1801</v>
      </c>
      <c r="E664" s="2" t="s">
        <v>1802</v>
      </c>
      <c r="F664" s="2" t="s">
        <v>16</v>
      </c>
      <c r="G664" s="2" t="s">
        <v>17</v>
      </c>
      <c r="H664" s="2"/>
      <c r="I664" s="3" t="n">
        <v>42887</v>
      </c>
      <c r="J664" s="2" t="s">
        <v>19</v>
      </c>
      <c r="K664" s="2"/>
      <c r="L664" s="2"/>
    </row>
    <row r="665" customFormat="false" ht="13.35" hidden="false" customHeight="true" outlineLevel="0" collapsed="false">
      <c r="A665" s="2" t="str">
        <f aca="false">HYPERLINK("https://www.fabsurplus.com/sdi_catalog/salesItemDetails.do?id=102949")</f>
        <v>https://www.fabsurplus.com/sdi_catalog/salesItemDetails.do?id=102949</v>
      </c>
      <c r="B665" s="2" t="s">
        <v>1803</v>
      </c>
      <c r="C665" s="2" t="s">
        <v>1804</v>
      </c>
      <c r="D665" s="2" t="s">
        <v>1805</v>
      </c>
      <c r="E665" s="2" t="s">
        <v>1806</v>
      </c>
      <c r="F665" s="2" t="s">
        <v>16</v>
      </c>
      <c r="G665" s="2" t="s">
        <v>1807</v>
      </c>
      <c r="H665" s="2"/>
      <c r="I665" s="2"/>
      <c r="J665" s="2" t="s">
        <v>19</v>
      </c>
      <c r="K665" s="2"/>
      <c r="L665" s="2"/>
    </row>
    <row r="666" customFormat="false" ht="13.35" hidden="false" customHeight="true" outlineLevel="0" collapsed="false">
      <c r="A666" s="2" t="str">
        <f aca="false">HYPERLINK("https://www.fabsurplus.com/sdi_catalog/salesItemDetails.do?id=102150")</f>
        <v>https://www.fabsurplus.com/sdi_catalog/salesItemDetails.do?id=102150</v>
      </c>
      <c r="B666" s="2" t="s">
        <v>1808</v>
      </c>
      <c r="C666" s="2" t="s">
        <v>1809</v>
      </c>
      <c r="D666" s="2" t="s">
        <v>1810</v>
      </c>
      <c r="E666" s="2" t="s">
        <v>1811</v>
      </c>
      <c r="F666" s="2" t="s">
        <v>16</v>
      </c>
      <c r="G666" s="2" t="s">
        <v>1812</v>
      </c>
      <c r="H666" s="2"/>
      <c r="I666" s="3" t="n">
        <v>37043</v>
      </c>
      <c r="J666" s="2" t="s">
        <v>19</v>
      </c>
      <c r="K666" s="2"/>
      <c r="L666" s="2"/>
    </row>
    <row r="667" customFormat="false" ht="13.35" hidden="false" customHeight="true" outlineLevel="0" collapsed="false">
      <c r="A667" s="2" t="str">
        <f aca="false">HYPERLINK("https://www.fabsurplus.com/sdi_catalog/salesItemDetails.do?id=101978")</f>
        <v>https://www.fabsurplus.com/sdi_catalog/salesItemDetails.do?id=101978</v>
      </c>
      <c r="B667" s="2" t="s">
        <v>1813</v>
      </c>
      <c r="C667" s="2" t="s">
        <v>1814</v>
      </c>
      <c r="D667" s="2" t="s">
        <v>1815</v>
      </c>
      <c r="E667" s="2" t="s">
        <v>1816</v>
      </c>
      <c r="F667" s="2" t="s">
        <v>16</v>
      </c>
      <c r="G667" s="2" t="s">
        <v>1817</v>
      </c>
      <c r="H667" s="2"/>
      <c r="I667" s="3" t="n">
        <v>41426</v>
      </c>
      <c r="J667" s="2" t="s">
        <v>19</v>
      </c>
      <c r="K667" s="2"/>
      <c r="L667" s="2" t="s">
        <v>161</v>
      </c>
    </row>
    <row r="668" customFormat="false" ht="13.35" hidden="false" customHeight="true" outlineLevel="0" collapsed="false">
      <c r="A668" s="5" t="str">
        <f aca="false">HYPERLINK("https://www.fabsurplus.com/sdi_catalog/salesItemDetails.do?id=101979")</f>
        <v>https://www.fabsurplus.com/sdi_catalog/salesItemDetails.do?id=101979</v>
      </c>
      <c r="B668" s="5" t="s">
        <v>1818</v>
      </c>
      <c r="C668" s="5" t="s">
        <v>1814</v>
      </c>
      <c r="D668" s="5" t="s">
        <v>1819</v>
      </c>
      <c r="E668" s="5" t="s">
        <v>1820</v>
      </c>
      <c r="F668" s="5" t="s">
        <v>16</v>
      </c>
      <c r="G668" s="5" t="s">
        <v>1817</v>
      </c>
      <c r="H668" s="5"/>
      <c r="I668" s="5"/>
      <c r="J668" s="5" t="s">
        <v>19</v>
      </c>
      <c r="K668" s="5"/>
      <c r="L668" s="5" t="s">
        <v>161</v>
      </c>
    </row>
    <row r="669" customFormat="false" ht="13.35" hidden="false" customHeight="true" outlineLevel="0" collapsed="false">
      <c r="A669" s="2" t="str">
        <f aca="false">HYPERLINK("https://www.fabsurplus.com/sdi_catalog/salesItemDetails.do?id=101980")</f>
        <v>https://www.fabsurplus.com/sdi_catalog/salesItemDetails.do?id=101980</v>
      </c>
      <c r="B669" s="2" t="s">
        <v>1821</v>
      </c>
      <c r="C669" s="2" t="s">
        <v>1814</v>
      </c>
      <c r="D669" s="2" t="s">
        <v>1819</v>
      </c>
      <c r="E669" s="2" t="s">
        <v>1820</v>
      </c>
      <c r="F669" s="2" t="s">
        <v>16</v>
      </c>
      <c r="G669" s="2" t="s">
        <v>1817</v>
      </c>
      <c r="H669" s="2"/>
      <c r="I669" s="2"/>
      <c r="J669" s="2" t="s">
        <v>19</v>
      </c>
      <c r="K669" s="2"/>
      <c r="L669" s="2" t="s">
        <v>161</v>
      </c>
    </row>
    <row r="670" customFormat="false" ht="13.35" hidden="false" customHeight="true" outlineLevel="0" collapsed="false">
      <c r="A670" s="2" t="str">
        <f aca="false">HYPERLINK("https://www.fabsurplus.com/sdi_catalog/salesItemDetails.do?id=100630")</f>
        <v>https://www.fabsurplus.com/sdi_catalog/salesItemDetails.do?id=100630</v>
      </c>
      <c r="B670" s="2" t="s">
        <v>1822</v>
      </c>
      <c r="C670" s="2" t="s">
        <v>1823</v>
      </c>
      <c r="D670" s="2" t="s">
        <v>1824</v>
      </c>
      <c r="E670" s="2" t="s">
        <v>1512</v>
      </c>
      <c r="F670" s="2" t="s">
        <v>125</v>
      </c>
      <c r="G670" s="2" t="s">
        <v>1498</v>
      </c>
      <c r="H670" s="2"/>
      <c r="I670" s="2"/>
      <c r="J670" s="2" t="s">
        <v>19</v>
      </c>
      <c r="K670" s="2"/>
      <c r="L670" s="2" t="s">
        <v>474</v>
      </c>
    </row>
    <row r="671" customFormat="false" ht="13.35" hidden="false" customHeight="true" outlineLevel="0" collapsed="false">
      <c r="A671" s="5" t="str">
        <f aca="false">HYPERLINK("https://www.fabsurplus.com/sdi_catalog/salesItemDetails.do?id=100631")</f>
        <v>https://www.fabsurplus.com/sdi_catalog/salesItemDetails.do?id=100631</v>
      </c>
      <c r="B671" s="5" t="s">
        <v>1825</v>
      </c>
      <c r="C671" s="5" t="s">
        <v>1823</v>
      </c>
      <c r="D671" s="5" t="s">
        <v>1826</v>
      </c>
      <c r="E671" s="5" t="s">
        <v>1512</v>
      </c>
      <c r="F671" s="5" t="s">
        <v>125</v>
      </c>
      <c r="G671" s="5" t="s">
        <v>1498</v>
      </c>
      <c r="H671" s="5"/>
      <c r="I671" s="5"/>
      <c r="J671" s="5" t="s">
        <v>19</v>
      </c>
      <c r="K671" s="5"/>
      <c r="L671" s="5" t="s">
        <v>474</v>
      </c>
    </row>
    <row r="672" customFormat="false" ht="13.35" hidden="false" customHeight="true" outlineLevel="0" collapsed="false">
      <c r="A672" s="2" t="str">
        <f aca="false">HYPERLINK("https://www.fabsurplus.com/sdi_catalog/salesItemDetails.do?id=101769")</f>
        <v>https://www.fabsurplus.com/sdi_catalog/salesItemDetails.do?id=101769</v>
      </c>
      <c r="B672" s="2" t="s">
        <v>1827</v>
      </c>
      <c r="C672" s="2" t="s">
        <v>1828</v>
      </c>
      <c r="D672" s="2" t="s">
        <v>1829</v>
      </c>
      <c r="E672" s="2" t="s">
        <v>1830</v>
      </c>
      <c r="F672" s="2" t="s">
        <v>16</v>
      </c>
      <c r="G672" s="2"/>
      <c r="H672" s="2" t="s">
        <v>1421</v>
      </c>
      <c r="I672" s="2"/>
      <c r="J672" s="2" t="s">
        <v>19</v>
      </c>
      <c r="K672" s="2" t="s">
        <v>20</v>
      </c>
      <c r="L672" s="4" t="s">
        <v>1831</v>
      </c>
    </row>
    <row r="673" customFormat="false" ht="13.35" hidden="false" customHeight="true" outlineLevel="0" collapsed="false">
      <c r="A673" s="5" t="str">
        <f aca="false">HYPERLINK("https://www.fabsurplus.com/sdi_catalog/salesItemDetails.do?id=102950")</f>
        <v>https://www.fabsurplus.com/sdi_catalog/salesItemDetails.do?id=102950</v>
      </c>
      <c r="B673" s="5" t="s">
        <v>1832</v>
      </c>
      <c r="C673" s="5" t="s">
        <v>1833</v>
      </c>
      <c r="D673" s="5" t="s">
        <v>1834</v>
      </c>
      <c r="E673" s="5" t="s">
        <v>1835</v>
      </c>
      <c r="F673" s="5" t="s">
        <v>16</v>
      </c>
      <c r="G673" s="5" t="s">
        <v>1807</v>
      </c>
      <c r="H673" s="5"/>
      <c r="I673" s="6" t="n">
        <v>39234</v>
      </c>
      <c r="J673" s="5" t="s">
        <v>19</v>
      </c>
      <c r="K673" s="5"/>
      <c r="L673" s="5"/>
    </row>
    <row r="674" customFormat="false" ht="13.35" hidden="false" customHeight="true" outlineLevel="0" collapsed="false">
      <c r="A674" s="2" t="str">
        <f aca="false">HYPERLINK("https://www.fabsurplus.com/sdi_catalog/salesItemDetails.do?id=102075")</f>
        <v>https://www.fabsurplus.com/sdi_catalog/salesItemDetails.do?id=102075</v>
      </c>
      <c r="B674" s="2" t="s">
        <v>1836</v>
      </c>
      <c r="C674" s="2" t="s">
        <v>1837</v>
      </c>
      <c r="D674" s="2" t="s">
        <v>1838</v>
      </c>
      <c r="E674" s="2" t="s">
        <v>1839</v>
      </c>
      <c r="F674" s="2" t="s">
        <v>16</v>
      </c>
      <c r="G674" s="2" t="s">
        <v>17</v>
      </c>
      <c r="H674" s="2"/>
      <c r="I674" s="3" t="n">
        <v>39234</v>
      </c>
      <c r="J674" s="2" t="s">
        <v>19</v>
      </c>
      <c r="K674" s="2"/>
      <c r="L674" s="2"/>
    </row>
    <row r="675" customFormat="false" ht="13.35" hidden="false" customHeight="true" outlineLevel="0" collapsed="false">
      <c r="A675" s="5" t="str">
        <f aca="false">HYPERLINK("https://www.fabsurplus.com/sdi_catalog/salesItemDetails.do?id=87983")</f>
        <v>https://www.fabsurplus.com/sdi_catalog/salesItemDetails.do?id=87983</v>
      </c>
      <c r="B675" s="5" t="s">
        <v>1840</v>
      </c>
      <c r="C675" s="5" t="s">
        <v>1841</v>
      </c>
      <c r="D675" s="5" t="s">
        <v>1842</v>
      </c>
      <c r="E675" s="5" t="s">
        <v>87</v>
      </c>
      <c r="F675" s="5" t="s">
        <v>137</v>
      </c>
      <c r="G675" s="5" t="s">
        <v>88</v>
      </c>
      <c r="H675" s="5"/>
      <c r="I675" s="5"/>
      <c r="J675" s="5" t="s">
        <v>19</v>
      </c>
      <c r="K675" s="5"/>
      <c r="L675" s="5" t="s">
        <v>89</v>
      </c>
    </row>
    <row r="676" customFormat="false" ht="13.35" hidden="false" customHeight="true" outlineLevel="0" collapsed="false">
      <c r="A676" s="5" t="str">
        <f aca="false">HYPERLINK("https://www.fabsurplus.com/sdi_catalog/salesItemDetails.do?id=102151")</f>
        <v>https://www.fabsurplus.com/sdi_catalog/salesItemDetails.do?id=102151</v>
      </c>
      <c r="B676" s="5" t="s">
        <v>1843</v>
      </c>
      <c r="C676" s="5" t="s">
        <v>1844</v>
      </c>
      <c r="D676" s="5" t="s">
        <v>1845</v>
      </c>
      <c r="E676" s="5" t="s">
        <v>1846</v>
      </c>
      <c r="F676" s="5" t="s">
        <v>16</v>
      </c>
      <c r="G676" s="5"/>
      <c r="H676" s="5"/>
      <c r="I676" s="6" t="n">
        <v>41061</v>
      </c>
      <c r="J676" s="5" t="s">
        <v>19</v>
      </c>
      <c r="K676" s="5"/>
      <c r="L676" s="5"/>
    </row>
    <row r="677" customFormat="false" ht="13.35" hidden="false" customHeight="true" outlineLevel="0" collapsed="false">
      <c r="A677" s="2" t="str">
        <f aca="false">HYPERLINK("https://www.fabsurplus.com/sdi_catalog/salesItemDetails.do?id=100632")</f>
        <v>https://www.fabsurplus.com/sdi_catalog/salesItemDetails.do?id=100632</v>
      </c>
      <c r="B677" s="2" t="s">
        <v>1847</v>
      </c>
      <c r="C677" s="2" t="s">
        <v>1848</v>
      </c>
      <c r="D677" s="2" t="s">
        <v>1849</v>
      </c>
      <c r="E677" s="2" t="s">
        <v>1850</v>
      </c>
      <c r="F677" s="2" t="s">
        <v>16</v>
      </c>
      <c r="G677" s="2" t="s">
        <v>160</v>
      </c>
      <c r="H677" s="2"/>
      <c r="I677" s="2"/>
      <c r="J677" s="2" t="s">
        <v>19</v>
      </c>
      <c r="K677" s="2"/>
      <c r="L677" s="2" t="s">
        <v>474</v>
      </c>
    </row>
    <row r="678" customFormat="false" ht="13.35" hidden="false" customHeight="true" outlineLevel="0" collapsed="false">
      <c r="A678" s="5" t="str">
        <f aca="false">HYPERLINK("https://www.fabsurplus.com/sdi_catalog/salesItemDetails.do?id=102152")</f>
        <v>https://www.fabsurplus.com/sdi_catalog/salesItemDetails.do?id=102152</v>
      </c>
      <c r="B678" s="5" t="s">
        <v>1851</v>
      </c>
      <c r="C678" s="5" t="s">
        <v>1848</v>
      </c>
      <c r="D678" s="5" t="s">
        <v>1852</v>
      </c>
      <c r="E678" s="5" t="s">
        <v>1853</v>
      </c>
      <c r="F678" s="5" t="s">
        <v>16</v>
      </c>
      <c r="G678" s="5" t="s">
        <v>17</v>
      </c>
      <c r="H678" s="5"/>
      <c r="I678" s="6" t="n">
        <v>38869</v>
      </c>
      <c r="J678" s="5" t="s">
        <v>19</v>
      </c>
      <c r="K678" s="5"/>
      <c r="L678" s="5"/>
    </row>
    <row r="679" customFormat="false" ht="13.35" hidden="false" customHeight="true" outlineLevel="0" collapsed="false">
      <c r="A679" s="5" t="str">
        <f aca="false">HYPERLINK("https://www.fabsurplus.com/sdi_catalog/salesItemDetails.do?id=91369")</f>
        <v>https://www.fabsurplus.com/sdi_catalog/salesItemDetails.do?id=91369</v>
      </c>
      <c r="B679" s="5" t="s">
        <v>1854</v>
      </c>
      <c r="C679" s="5" t="s">
        <v>1855</v>
      </c>
      <c r="D679" s="5" t="s">
        <v>1856</v>
      </c>
      <c r="E679" s="5" t="s">
        <v>1857</v>
      </c>
      <c r="F679" s="5" t="s">
        <v>16</v>
      </c>
      <c r="G679" s="5" t="s">
        <v>36</v>
      </c>
      <c r="H679" s="5"/>
      <c r="I679" s="5"/>
      <c r="J679" s="5" t="s">
        <v>19</v>
      </c>
      <c r="K679" s="5"/>
      <c r="L679" s="5" t="s">
        <v>112</v>
      </c>
    </row>
    <row r="680" customFormat="false" ht="13.35" hidden="false" customHeight="true" outlineLevel="0" collapsed="false">
      <c r="A680" s="5" t="str">
        <f aca="false">HYPERLINK("https://www.fabsurplus.com/sdi_catalog/salesItemDetails.do?id=90687")</f>
        <v>https://www.fabsurplus.com/sdi_catalog/salesItemDetails.do?id=90687</v>
      </c>
      <c r="B680" s="5" t="s">
        <v>1858</v>
      </c>
      <c r="C680" s="5" t="s">
        <v>1855</v>
      </c>
      <c r="D680" s="5" t="s">
        <v>1859</v>
      </c>
      <c r="E680" s="5" t="s">
        <v>1860</v>
      </c>
      <c r="F680" s="5" t="s">
        <v>16</v>
      </c>
      <c r="G680" s="5" t="s">
        <v>663</v>
      </c>
      <c r="H680" s="5" t="s">
        <v>18</v>
      </c>
      <c r="I680" s="6" t="n">
        <v>38169</v>
      </c>
      <c r="J680" s="5" t="s">
        <v>19</v>
      </c>
      <c r="K680" s="5" t="s">
        <v>20</v>
      </c>
      <c r="L680" s="7" t="s">
        <v>1861</v>
      </c>
    </row>
    <row r="681" customFormat="false" ht="13.35" hidden="false" customHeight="true" outlineLevel="0" collapsed="false">
      <c r="A681" s="2" t="str">
        <f aca="false">HYPERLINK("https://www.fabsurplus.com/sdi_catalog/salesItemDetails.do?id=102059")</f>
        <v>https://www.fabsurplus.com/sdi_catalog/salesItemDetails.do?id=102059</v>
      </c>
      <c r="B681" s="2" t="s">
        <v>1862</v>
      </c>
      <c r="C681" s="2" t="s">
        <v>1848</v>
      </c>
      <c r="D681" s="2" t="s">
        <v>1863</v>
      </c>
      <c r="E681" s="2" t="s">
        <v>1864</v>
      </c>
      <c r="F681" s="2" t="s">
        <v>1865</v>
      </c>
      <c r="G681" s="2" t="s">
        <v>149</v>
      </c>
      <c r="H681" s="2" t="s">
        <v>26</v>
      </c>
      <c r="I681" s="3" t="n">
        <v>35947</v>
      </c>
      <c r="J681" s="2" t="s">
        <v>19</v>
      </c>
      <c r="K681" s="2" t="s">
        <v>20</v>
      </c>
      <c r="L681" s="4" t="s">
        <v>1866</v>
      </c>
    </row>
    <row r="682" customFormat="false" ht="13.35" hidden="false" customHeight="true" outlineLevel="0" collapsed="false">
      <c r="A682" s="2" t="str">
        <f aca="false">HYPERLINK("https://www.fabsurplus.com/sdi_catalog/salesItemDetails.do?id=75027")</f>
        <v>https://www.fabsurplus.com/sdi_catalog/salesItemDetails.do?id=75027</v>
      </c>
      <c r="B682" s="2" t="s">
        <v>1867</v>
      </c>
      <c r="C682" s="2" t="s">
        <v>1848</v>
      </c>
      <c r="D682" s="2" t="s">
        <v>1868</v>
      </c>
      <c r="E682" s="2" t="s">
        <v>1869</v>
      </c>
      <c r="F682" s="2" t="s">
        <v>16</v>
      </c>
      <c r="G682" s="2" t="s">
        <v>36</v>
      </c>
      <c r="H682" s="2" t="s">
        <v>26</v>
      </c>
      <c r="I682" s="3" t="n">
        <v>36982</v>
      </c>
      <c r="J682" s="2" t="s">
        <v>19</v>
      </c>
      <c r="K682" s="2" t="s">
        <v>20</v>
      </c>
      <c r="L682" s="4" t="s">
        <v>1870</v>
      </c>
    </row>
    <row r="683" customFormat="false" ht="13.35" hidden="false" customHeight="true" outlineLevel="0" collapsed="false">
      <c r="A683" s="5" t="str">
        <f aca="false">HYPERLINK("https://www.fabsurplus.com/sdi_catalog/salesItemDetails.do?id=54816")</f>
        <v>https://www.fabsurplus.com/sdi_catalog/salesItemDetails.do?id=54816</v>
      </c>
      <c r="B683" s="5" t="s">
        <v>1871</v>
      </c>
      <c r="C683" s="5" t="s">
        <v>1855</v>
      </c>
      <c r="D683" s="5" t="s">
        <v>1868</v>
      </c>
      <c r="E683" s="5" t="s">
        <v>1872</v>
      </c>
      <c r="F683" s="5" t="s">
        <v>16</v>
      </c>
      <c r="G683" s="5" t="s">
        <v>17</v>
      </c>
      <c r="H683" s="5" t="s">
        <v>26</v>
      </c>
      <c r="I683" s="6" t="n">
        <v>37043</v>
      </c>
      <c r="J683" s="5" t="s">
        <v>19</v>
      </c>
      <c r="K683" s="5" t="s">
        <v>20</v>
      </c>
      <c r="L683" s="7" t="s">
        <v>1873</v>
      </c>
    </row>
    <row r="684" customFormat="false" ht="13.35" hidden="false" customHeight="true" outlineLevel="0" collapsed="false">
      <c r="A684" s="2" t="str">
        <f aca="false">HYPERLINK("https://www.fabsurplus.com/sdi_catalog/salesItemDetails.do?id=93079")</f>
        <v>https://www.fabsurplus.com/sdi_catalog/salesItemDetails.do?id=93079</v>
      </c>
      <c r="B684" s="2" t="s">
        <v>1874</v>
      </c>
      <c r="C684" s="2" t="s">
        <v>1855</v>
      </c>
      <c r="D684" s="2" t="s">
        <v>1875</v>
      </c>
      <c r="E684" s="2" t="s">
        <v>1876</v>
      </c>
      <c r="F684" s="2" t="s">
        <v>16</v>
      </c>
      <c r="G684" s="2" t="s">
        <v>36</v>
      </c>
      <c r="H684" s="2"/>
      <c r="I684" s="2"/>
      <c r="J684" s="2" t="s">
        <v>19</v>
      </c>
      <c r="K684" s="2"/>
      <c r="L684" s="2" t="s">
        <v>112</v>
      </c>
    </row>
    <row r="685" customFormat="false" ht="13.35" hidden="false" customHeight="true" outlineLevel="0" collapsed="false">
      <c r="A685" s="5" t="str">
        <f aca="false">HYPERLINK("https://www.fabsurplus.com/sdi_catalog/salesItemDetails.do?id=99883")</f>
        <v>https://www.fabsurplus.com/sdi_catalog/salesItemDetails.do?id=99883</v>
      </c>
      <c r="B685" s="5" t="s">
        <v>1877</v>
      </c>
      <c r="C685" s="5" t="s">
        <v>1848</v>
      </c>
      <c r="D685" s="5" t="s">
        <v>1878</v>
      </c>
      <c r="E685" s="5" t="s">
        <v>1256</v>
      </c>
      <c r="F685" s="5" t="s">
        <v>16</v>
      </c>
      <c r="G685" s="5" t="s">
        <v>17</v>
      </c>
      <c r="H685" s="5" t="s">
        <v>592</v>
      </c>
      <c r="I685" s="5"/>
      <c r="J685" s="5" t="s">
        <v>47</v>
      </c>
      <c r="K685" s="5" t="s">
        <v>20</v>
      </c>
      <c r="L685" s="7" t="s">
        <v>1879</v>
      </c>
    </row>
    <row r="686" customFormat="false" ht="13.35" hidden="false" customHeight="true" outlineLevel="0" collapsed="false">
      <c r="A686" s="5" t="str">
        <f aca="false">HYPERLINK("https://www.fabsurplus.com/sdi_catalog/salesItemDetails.do?id=93080")</f>
        <v>https://www.fabsurplus.com/sdi_catalog/salesItemDetails.do?id=93080</v>
      </c>
      <c r="B686" s="5" t="s">
        <v>1880</v>
      </c>
      <c r="C686" s="5" t="s">
        <v>1855</v>
      </c>
      <c r="D686" s="5" t="s">
        <v>1881</v>
      </c>
      <c r="E686" s="5" t="s">
        <v>1876</v>
      </c>
      <c r="F686" s="5" t="s">
        <v>16</v>
      </c>
      <c r="G686" s="5" t="s">
        <v>36</v>
      </c>
      <c r="H686" s="5"/>
      <c r="I686" s="5"/>
      <c r="J686" s="5" t="s">
        <v>19</v>
      </c>
      <c r="K686" s="5"/>
      <c r="L686" s="5" t="s">
        <v>112</v>
      </c>
    </row>
    <row r="687" customFormat="false" ht="13.35" hidden="false" customHeight="true" outlineLevel="0" collapsed="false">
      <c r="A687" s="2" t="str">
        <f aca="false">HYPERLINK("https://www.fabsurplus.com/sdi_catalog/salesItemDetails.do?id=93081")</f>
        <v>https://www.fabsurplus.com/sdi_catalog/salesItemDetails.do?id=93081</v>
      </c>
      <c r="B687" s="2" t="s">
        <v>1882</v>
      </c>
      <c r="C687" s="2" t="s">
        <v>1855</v>
      </c>
      <c r="D687" s="2" t="s">
        <v>1881</v>
      </c>
      <c r="E687" s="2" t="s">
        <v>1876</v>
      </c>
      <c r="F687" s="2" t="s">
        <v>16</v>
      </c>
      <c r="G687" s="2" t="s">
        <v>36</v>
      </c>
      <c r="H687" s="2"/>
      <c r="I687" s="2"/>
      <c r="J687" s="2" t="s">
        <v>19</v>
      </c>
      <c r="K687" s="2"/>
      <c r="L687" s="2" t="s">
        <v>112</v>
      </c>
    </row>
    <row r="688" customFormat="false" ht="13.35" hidden="false" customHeight="true" outlineLevel="0" collapsed="false">
      <c r="A688" s="2" t="str">
        <f aca="false">HYPERLINK("https://www.fabsurplus.com/sdi_catalog/salesItemDetails.do?id=99884")</f>
        <v>https://www.fabsurplus.com/sdi_catalog/salesItemDetails.do?id=99884</v>
      </c>
      <c r="B688" s="2" t="s">
        <v>1883</v>
      </c>
      <c r="C688" s="2" t="s">
        <v>1848</v>
      </c>
      <c r="D688" s="2" t="s">
        <v>1884</v>
      </c>
      <c r="E688" s="2" t="s">
        <v>1256</v>
      </c>
      <c r="F688" s="2" t="s">
        <v>16</v>
      </c>
      <c r="G688" s="2" t="s">
        <v>17</v>
      </c>
      <c r="H688" s="2" t="s">
        <v>592</v>
      </c>
      <c r="I688" s="2"/>
      <c r="J688" s="2" t="s">
        <v>19</v>
      </c>
      <c r="K688" s="2" t="s">
        <v>20</v>
      </c>
      <c r="L688" s="4" t="s">
        <v>1885</v>
      </c>
    </row>
    <row r="689" customFormat="false" ht="13.35" hidden="false" customHeight="true" outlineLevel="0" collapsed="false">
      <c r="A689" s="5" t="str">
        <f aca="false">HYPERLINK("https://www.fabsurplus.com/sdi_catalog/salesItemDetails.do?id=102153")</f>
        <v>https://www.fabsurplus.com/sdi_catalog/salesItemDetails.do?id=102153</v>
      </c>
      <c r="B689" s="5" t="s">
        <v>1886</v>
      </c>
      <c r="C689" s="5" t="s">
        <v>1848</v>
      </c>
      <c r="D689" s="5" t="s">
        <v>1887</v>
      </c>
      <c r="E689" s="5" t="s">
        <v>1876</v>
      </c>
      <c r="F689" s="5" t="s">
        <v>16</v>
      </c>
      <c r="G689" s="5" t="s">
        <v>36</v>
      </c>
      <c r="H689" s="5"/>
      <c r="I689" s="6" t="n">
        <v>37043</v>
      </c>
      <c r="J689" s="5" t="s">
        <v>19</v>
      </c>
      <c r="K689" s="5"/>
      <c r="L689" s="5"/>
    </row>
    <row r="690" customFormat="false" ht="13.35" hidden="false" customHeight="true" outlineLevel="0" collapsed="false">
      <c r="A690" s="5" t="str">
        <f aca="false">HYPERLINK("https://www.fabsurplus.com/sdi_catalog/salesItemDetails.do?id=102687")</f>
        <v>https://www.fabsurplus.com/sdi_catalog/salesItemDetails.do?id=102687</v>
      </c>
      <c r="B690" s="5" t="s">
        <v>1888</v>
      </c>
      <c r="C690" s="5" t="s">
        <v>1848</v>
      </c>
      <c r="D690" s="5" t="s">
        <v>1889</v>
      </c>
      <c r="E690" s="5" t="s">
        <v>1890</v>
      </c>
      <c r="F690" s="5" t="s">
        <v>16</v>
      </c>
      <c r="G690" s="5" t="s">
        <v>17</v>
      </c>
      <c r="H690" s="5"/>
      <c r="I690" s="5"/>
      <c r="J690" s="5" t="s">
        <v>19</v>
      </c>
      <c r="K690" s="5"/>
      <c r="L690" s="5" t="s">
        <v>1891</v>
      </c>
    </row>
    <row r="691" customFormat="false" ht="13.35" hidden="false" customHeight="true" outlineLevel="0" collapsed="false">
      <c r="A691" s="5" t="str">
        <f aca="false">HYPERLINK("https://www.fabsurplus.com/sdi_catalog/salesItemDetails.do?id=102155")</f>
        <v>https://www.fabsurplus.com/sdi_catalog/salesItemDetails.do?id=102155</v>
      </c>
      <c r="B691" s="5" t="s">
        <v>1892</v>
      </c>
      <c r="C691" s="5" t="s">
        <v>1848</v>
      </c>
      <c r="D691" s="5" t="s">
        <v>1889</v>
      </c>
      <c r="E691" s="5" t="s">
        <v>1893</v>
      </c>
      <c r="F691" s="5" t="s">
        <v>16</v>
      </c>
      <c r="G691" s="5" t="s">
        <v>17</v>
      </c>
      <c r="H691" s="5"/>
      <c r="I691" s="6" t="n">
        <v>37773</v>
      </c>
      <c r="J691" s="5" t="s">
        <v>19</v>
      </c>
      <c r="K691" s="5"/>
      <c r="L691" s="5"/>
    </row>
    <row r="692" customFormat="false" ht="13.35" hidden="false" customHeight="true" outlineLevel="0" collapsed="false">
      <c r="A692" s="5" t="str">
        <f aca="false">HYPERLINK("https://www.fabsurplus.com/sdi_catalog/salesItemDetails.do?id=102157")</f>
        <v>https://www.fabsurplus.com/sdi_catalog/salesItemDetails.do?id=102157</v>
      </c>
      <c r="B692" s="5" t="s">
        <v>1894</v>
      </c>
      <c r="C692" s="5" t="s">
        <v>1848</v>
      </c>
      <c r="D692" s="5" t="s">
        <v>1895</v>
      </c>
      <c r="E692" s="5" t="s">
        <v>1896</v>
      </c>
      <c r="F692" s="5" t="s">
        <v>16</v>
      </c>
      <c r="G692" s="5" t="s">
        <v>17</v>
      </c>
      <c r="H692" s="5"/>
      <c r="I692" s="6" t="n">
        <v>39600</v>
      </c>
      <c r="J692" s="5" t="s">
        <v>19</v>
      </c>
      <c r="K692" s="5"/>
      <c r="L692" s="5"/>
    </row>
    <row r="693" customFormat="false" ht="13.35" hidden="false" customHeight="true" outlineLevel="0" collapsed="false">
      <c r="A693" s="5" t="str">
        <f aca="false">HYPERLINK("https://www.fabsurplus.com/sdi_catalog/salesItemDetails.do?id=35998")</f>
        <v>https://www.fabsurplus.com/sdi_catalog/salesItemDetails.do?id=35998</v>
      </c>
      <c r="B693" s="5" t="s">
        <v>1897</v>
      </c>
      <c r="C693" s="5" t="s">
        <v>1848</v>
      </c>
      <c r="D693" s="5" t="s">
        <v>1898</v>
      </c>
      <c r="E693" s="5" t="s">
        <v>1899</v>
      </c>
      <c r="F693" s="5" t="s">
        <v>16</v>
      </c>
      <c r="G693" s="5" t="s">
        <v>36</v>
      </c>
      <c r="H693" s="5" t="s">
        <v>26</v>
      </c>
      <c r="I693" s="6" t="n">
        <v>36678</v>
      </c>
      <c r="J693" s="5" t="s">
        <v>19</v>
      </c>
      <c r="K693" s="5" t="s">
        <v>20</v>
      </c>
      <c r="L693" s="7" t="s">
        <v>1900</v>
      </c>
    </row>
    <row r="694" customFormat="false" ht="13.35" hidden="false" customHeight="true" outlineLevel="0" collapsed="false">
      <c r="A694" s="5" t="str">
        <f aca="false">HYPERLINK("https://www.fabsurplus.com/sdi_catalog/salesItemDetails.do?id=101792")</f>
        <v>https://www.fabsurplus.com/sdi_catalog/salesItemDetails.do?id=101792</v>
      </c>
      <c r="B694" s="5" t="s">
        <v>1901</v>
      </c>
      <c r="C694" s="5" t="s">
        <v>1848</v>
      </c>
      <c r="D694" s="5" t="s">
        <v>1902</v>
      </c>
      <c r="E694" s="5" t="s">
        <v>1903</v>
      </c>
      <c r="F694" s="5" t="s">
        <v>16</v>
      </c>
      <c r="G694" s="5" t="s">
        <v>36</v>
      </c>
      <c r="H694" s="5"/>
      <c r="I694" s="6" t="n">
        <v>35156</v>
      </c>
      <c r="J694" s="5" t="s">
        <v>47</v>
      </c>
      <c r="K694" s="5"/>
      <c r="L694" s="5"/>
    </row>
    <row r="695" customFormat="false" ht="13.35" hidden="false" customHeight="true" outlineLevel="0" collapsed="false">
      <c r="A695" s="5" t="str">
        <f aca="false">HYPERLINK("https://www.fabsurplus.com/sdi_catalog/salesItemDetails.do?id=101364")</f>
        <v>https://www.fabsurplus.com/sdi_catalog/salesItemDetails.do?id=101364</v>
      </c>
      <c r="B695" s="5" t="s">
        <v>1904</v>
      </c>
      <c r="C695" s="5" t="s">
        <v>1848</v>
      </c>
      <c r="D695" s="5" t="s">
        <v>1905</v>
      </c>
      <c r="E695" s="5" t="s">
        <v>1906</v>
      </c>
      <c r="F695" s="5" t="s">
        <v>16</v>
      </c>
      <c r="G695" s="5" t="s">
        <v>1907</v>
      </c>
      <c r="H695" s="5" t="s">
        <v>26</v>
      </c>
      <c r="I695" s="5"/>
      <c r="J695" s="5" t="s">
        <v>19</v>
      </c>
      <c r="K695" s="5" t="s">
        <v>20</v>
      </c>
      <c r="L695" s="7" t="s">
        <v>1908</v>
      </c>
    </row>
    <row r="696" customFormat="false" ht="13.35" hidden="false" customHeight="true" outlineLevel="0" collapsed="false">
      <c r="A696" s="5" t="str">
        <f aca="false">HYPERLINK("https://www.fabsurplus.com/sdi_catalog/salesItemDetails.do?id=103071")</f>
        <v>https://www.fabsurplus.com/sdi_catalog/salesItemDetails.do?id=103071</v>
      </c>
      <c r="B696" s="5" t="s">
        <v>1909</v>
      </c>
      <c r="C696" s="5" t="s">
        <v>1848</v>
      </c>
      <c r="D696" s="5" t="s">
        <v>1910</v>
      </c>
      <c r="E696" s="5" t="s">
        <v>1911</v>
      </c>
      <c r="F696" s="5" t="s">
        <v>16</v>
      </c>
      <c r="G696" s="5" t="s">
        <v>658</v>
      </c>
      <c r="H696" s="5"/>
      <c r="I696" s="5"/>
      <c r="J696" s="5" t="s">
        <v>19</v>
      </c>
      <c r="K696" s="5"/>
      <c r="L696" s="5"/>
    </row>
    <row r="697" customFormat="false" ht="13.35" hidden="false" customHeight="true" outlineLevel="0" collapsed="false">
      <c r="A697" s="2" t="str">
        <f aca="false">HYPERLINK("https://www.fabsurplus.com/sdi_catalog/salesItemDetails.do?id=103072")</f>
        <v>https://www.fabsurplus.com/sdi_catalog/salesItemDetails.do?id=103072</v>
      </c>
      <c r="B697" s="2" t="s">
        <v>1912</v>
      </c>
      <c r="C697" s="2" t="s">
        <v>1848</v>
      </c>
      <c r="D697" s="2" t="s">
        <v>1910</v>
      </c>
      <c r="E697" s="2" t="s">
        <v>1911</v>
      </c>
      <c r="F697" s="2" t="s">
        <v>16</v>
      </c>
      <c r="G697" s="2" t="s">
        <v>658</v>
      </c>
      <c r="H697" s="2"/>
      <c r="I697" s="2"/>
      <c r="J697" s="2" t="s">
        <v>19</v>
      </c>
      <c r="K697" s="2"/>
      <c r="L697" s="2"/>
    </row>
    <row r="698" customFormat="false" ht="13.35" hidden="false" customHeight="true" outlineLevel="0" collapsed="false">
      <c r="A698" s="2" t="str">
        <f aca="false">HYPERLINK("https://www.fabsurplus.com/sdi_catalog/salesItemDetails.do?id=103073")</f>
        <v>https://www.fabsurplus.com/sdi_catalog/salesItemDetails.do?id=103073</v>
      </c>
      <c r="B698" s="2" t="s">
        <v>1913</v>
      </c>
      <c r="C698" s="2" t="s">
        <v>1848</v>
      </c>
      <c r="D698" s="2" t="s">
        <v>1910</v>
      </c>
      <c r="E698" s="2" t="s">
        <v>1911</v>
      </c>
      <c r="F698" s="2" t="s">
        <v>16</v>
      </c>
      <c r="G698" s="2" t="s">
        <v>658</v>
      </c>
      <c r="H698" s="2"/>
      <c r="I698" s="2"/>
      <c r="J698" s="2" t="s">
        <v>19</v>
      </c>
      <c r="K698" s="2"/>
      <c r="L698" s="2"/>
    </row>
    <row r="699" customFormat="false" ht="13.35" hidden="false" customHeight="true" outlineLevel="0" collapsed="false">
      <c r="A699" s="2" t="str">
        <f aca="false">HYPERLINK("https://www.fabsurplus.com/sdi_catalog/salesItemDetails.do?id=103074")</f>
        <v>https://www.fabsurplus.com/sdi_catalog/salesItemDetails.do?id=103074</v>
      </c>
      <c r="B699" s="2" t="s">
        <v>1914</v>
      </c>
      <c r="C699" s="2" t="s">
        <v>1848</v>
      </c>
      <c r="D699" s="2" t="s">
        <v>1910</v>
      </c>
      <c r="E699" s="2" t="s">
        <v>1911</v>
      </c>
      <c r="F699" s="2" t="s">
        <v>16</v>
      </c>
      <c r="G699" s="2" t="s">
        <v>658</v>
      </c>
      <c r="H699" s="2"/>
      <c r="I699" s="2"/>
      <c r="J699" s="2" t="s">
        <v>19</v>
      </c>
      <c r="K699" s="2"/>
      <c r="L699" s="2"/>
    </row>
    <row r="700" customFormat="false" ht="13.35" hidden="false" customHeight="true" outlineLevel="0" collapsed="false">
      <c r="A700" s="5" t="str">
        <f aca="false">HYPERLINK("https://www.fabsurplus.com/sdi_catalog/salesItemDetails.do?id=103075")</f>
        <v>https://www.fabsurplus.com/sdi_catalog/salesItemDetails.do?id=103075</v>
      </c>
      <c r="B700" s="5" t="s">
        <v>1915</v>
      </c>
      <c r="C700" s="5" t="s">
        <v>1848</v>
      </c>
      <c r="D700" s="5" t="s">
        <v>1910</v>
      </c>
      <c r="E700" s="5" t="s">
        <v>1911</v>
      </c>
      <c r="F700" s="5" t="s">
        <v>16</v>
      </c>
      <c r="G700" s="5" t="s">
        <v>658</v>
      </c>
      <c r="H700" s="5"/>
      <c r="I700" s="5"/>
      <c r="J700" s="5" t="s">
        <v>19</v>
      </c>
      <c r="K700" s="5"/>
      <c r="L700" s="5"/>
    </row>
    <row r="701" customFormat="false" ht="13.35" hidden="false" customHeight="true" outlineLevel="0" collapsed="false">
      <c r="A701" s="2" t="str">
        <f aca="false">HYPERLINK("https://www.fabsurplus.com/sdi_catalog/salesItemDetails.do?id=103076")</f>
        <v>https://www.fabsurplus.com/sdi_catalog/salesItemDetails.do?id=103076</v>
      </c>
      <c r="B701" s="2" t="s">
        <v>1916</v>
      </c>
      <c r="C701" s="2" t="s">
        <v>1848</v>
      </c>
      <c r="D701" s="2" t="s">
        <v>1910</v>
      </c>
      <c r="E701" s="2" t="s">
        <v>1911</v>
      </c>
      <c r="F701" s="2" t="s">
        <v>16</v>
      </c>
      <c r="G701" s="2" t="s">
        <v>658</v>
      </c>
      <c r="H701" s="2"/>
      <c r="I701" s="2"/>
      <c r="J701" s="2" t="s">
        <v>19</v>
      </c>
      <c r="K701" s="2"/>
      <c r="L701" s="2"/>
    </row>
    <row r="702" customFormat="false" ht="13.35" hidden="false" customHeight="true" outlineLevel="0" collapsed="false">
      <c r="A702" s="5" t="str">
        <f aca="false">HYPERLINK("https://www.fabsurplus.com/sdi_catalog/salesItemDetails.do?id=103077")</f>
        <v>https://www.fabsurplus.com/sdi_catalog/salesItemDetails.do?id=103077</v>
      </c>
      <c r="B702" s="5" t="s">
        <v>1917</v>
      </c>
      <c r="C702" s="5" t="s">
        <v>1848</v>
      </c>
      <c r="D702" s="5" t="s">
        <v>1910</v>
      </c>
      <c r="E702" s="5" t="s">
        <v>1911</v>
      </c>
      <c r="F702" s="5" t="s">
        <v>16</v>
      </c>
      <c r="G702" s="5" t="s">
        <v>658</v>
      </c>
      <c r="H702" s="5"/>
      <c r="I702" s="5"/>
      <c r="J702" s="5" t="s">
        <v>19</v>
      </c>
      <c r="K702" s="5"/>
      <c r="L702" s="5"/>
    </row>
    <row r="703" customFormat="false" ht="13.35" hidden="false" customHeight="true" outlineLevel="0" collapsed="false">
      <c r="A703" s="2" t="str">
        <f aca="false">HYPERLINK("https://www.fabsurplus.com/sdi_catalog/salesItemDetails.do?id=103078")</f>
        <v>https://www.fabsurplus.com/sdi_catalog/salesItemDetails.do?id=103078</v>
      </c>
      <c r="B703" s="2" t="s">
        <v>1918</v>
      </c>
      <c r="C703" s="2" t="s">
        <v>1848</v>
      </c>
      <c r="D703" s="2" t="s">
        <v>1910</v>
      </c>
      <c r="E703" s="2" t="s">
        <v>1911</v>
      </c>
      <c r="F703" s="2" t="s">
        <v>16</v>
      </c>
      <c r="G703" s="2" t="s">
        <v>658</v>
      </c>
      <c r="H703" s="2"/>
      <c r="I703" s="2"/>
      <c r="J703" s="2" t="s">
        <v>19</v>
      </c>
      <c r="K703" s="2"/>
      <c r="L703" s="2"/>
    </row>
    <row r="704" customFormat="false" ht="13.35" hidden="false" customHeight="true" outlineLevel="0" collapsed="false">
      <c r="A704" s="5" t="str">
        <f aca="false">HYPERLINK("https://www.fabsurplus.com/sdi_catalog/salesItemDetails.do?id=103079")</f>
        <v>https://www.fabsurplus.com/sdi_catalog/salesItemDetails.do?id=103079</v>
      </c>
      <c r="B704" s="5" t="s">
        <v>1919</v>
      </c>
      <c r="C704" s="5" t="s">
        <v>1848</v>
      </c>
      <c r="D704" s="5" t="s">
        <v>1910</v>
      </c>
      <c r="E704" s="5" t="s">
        <v>1911</v>
      </c>
      <c r="F704" s="5" t="s">
        <v>16</v>
      </c>
      <c r="G704" s="5" t="s">
        <v>658</v>
      </c>
      <c r="H704" s="5"/>
      <c r="I704" s="5"/>
      <c r="J704" s="5" t="s">
        <v>19</v>
      </c>
      <c r="K704" s="5"/>
      <c r="L704" s="5"/>
    </row>
    <row r="705" customFormat="false" ht="13.35" hidden="false" customHeight="true" outlineLevel="0" collapsed="false">
      <c r="A705" s="2" t="str">
        <f aca="false">HYPERLINK("https://www.fabsurplus.com/sdi_catalog/salesItemDetails.do?id=103080")</f>
        <v>https://www.fabsurplus.com/sdi_catalog/salesItemDetails.do?id=103080</v>
      </c>
      <c r="B705" s="2" t="s">
        <v>1920</v>
      </c>
      <c r="C705" s="2" t="s">
        <v>1848</v>
      </c>
      <c r="D705" s="2" t="s">
        <v>1910</v>
      </c>
      <c r="E705" s="2" t="s">
        <v>1911</v>
      </c>
      <c r="F705" s="2" t="s">
        <v>16</v>
      </c>
      <c r="G705" s="2" t="s">
        <v>658</v>
      </c>
      <c r="H705" s="2"/>
      <c r="I705" s="2"/>
      <c r="J705" s="2" t="s">
        <v>19</v>
      </c>
      <c r="K705" s="2"/>
      <c r="L705" s="2"/>
    </row>
    <row r="706" customFormat="false" ht="13.35" hidden="false" customHeight="true" outlineLevel="0" collapsed="false">
      <c r="A706" s="5" t="str">
        <f aca="false">HYPERLINK("https://www.fabsurplus.com/sdi_catalog/salesItemDetails.do?id=103081")</f>
        <v>https://www.fabsurplus.com/sdi_catalog/salesItemDetails.do?id=103081</v>
      </c>
      <c r="B706" s="5" t="s">
        <v>1921</v>
      </c>
      <c r="C706" s="5" t="s">
        <v>1848</v>
      </c>
      <c r="D706" s="5" t="s">
        <v>1910</v>
      </c>
      <c r="E706" s="5" t="s">
        <v>1911</v>
      </c>
      <c r="F706" s="5" t="s">
        <v>16</v>
      </c>
      <c r="G706" s="5" t="s">
        <v>658</v>
      </c>
      <c r="H706" s="5"/>
      <c r="I706" s="5"/>
      <c r="J706" s="5" t="s">
        <v>19</v>
      </c>
      <c r="K706" s="5"/>
      <c r="L706" s="5"/>
    </row>
    <row r="707" customFormat="false" ht="13.35" hidden="false" customHeight="true" outlineLevel="0" collapsed="false">
      <c r="A707" s="5" t="str">
        <f aca="false">HYPERLINK("https://www.fabsurplus.com/sdi_catalog/salesItemDetails.do?id=102159")</f>
        <v>https://www.fabsurplus.com/sdi_catalog/salesItemDetails.do?id=102159</v>
      </c>
      <c r="B707" s="5" t="s">
        <v>1922</v>
      </c>
      <c r="C707" s="5" t="s">
        <v>1923</v>
      </c>
      <c r="D707" s="5" t="s">
        <v>1924</v>
      </c>
      <c r="E707" s="5" t="s">
        <v>1925</v>
      </c>
      <c r="F707" s="5" t="s">
        <v>16</v>
      </c>
      <c r="G707" s="5" t="s">
        <v>17</v>
      </c>
      <c r="H707" s="5"/>
      <c r="I707" s="6" t="n">
        <v>39234</v>
      </c>
      <c r="J707" s="5" t="s">
        <v>19</v>
      </c>
      <c r="K707" s="5"/>
      <c r="L707" s="5"/>
    </row>
    <row r="708" customFormat="false" ht="13.35" hidden="false" customHeight="true" outlineLevel="0" collapsed="false">
      <c r="A708" s="2" t="str">
        <f aca="false">HYPERLINK("https://www.fabsurplus.com/sdi_catalog/salesItemDetails.do?id=102166")</f>
        <v>https://www.fabsurplus.com/sdi_catalog/salesItemDetails.do?id=102166</v>
      </c>
      <c r="B708" s="2" t="s">
        <v>1926</v>
      </c>
      <c r="C708" s="2" t="s">
        <v>1923</v>
      </c>
      <c r="D708" s="2" t="s">
        <v>1927</v>
      </c>
      <c r="E708" s="2" t="s">
        <v>1928</v>
      </c>
      <c r="F708" s="2" t="s">
        <v>16</v>
      </c>
      <c r="G708" s="2" t="s">
        <v>36</v>
      </c>
      <c r="H708" s="2"/>
      <c r="I708" s="2"/>
      <c r="J708" s="2" t="s">
        <v>19</v>
      </c>
      <c r="K708" s="2"/>
      <c r="L708" s="2"/>
    </row>
    <row r="709" customFormat="false" ht="13.35" hidden="false" customHeight="true" outlineLevel="0" collapsed="false">
      <c r="A709" s="5" t="str">
        <f aca="false">HYPERLINK("https://www.fabsurplus.com/sdi_catalog/salesItemDetails.do?id=102165")</f>
        <v>https://www.fabsurplus.com/sdi_catalog/salesItemDetails.do?id=102165</v>
      </c>
      <c r="B709" s="5" t="s">
        <v>1929</v>
      </c>
      <c r="C709" s="5" t="s">
        <v>1923</v>
      </c>
      <c r="D709" s="5" t="s">
        <v>1927</v>
      </c>
      <c r="E709" s="5" t="s">
        <v>1930</v>
      </c>
      <c r="F709" s="5" t="s">
        <v>16</v>
      </c>
      <c r="G709" s="5" t="s">
        <v>36</v>
      </c>
      <c r="H709" s="5"/>
      <c r="I709" s="5"/>
      <c r="J709" s="5" t="s">
        <v>19</v>
      </c>
      <c r="K709" s="5"/>
      <c r="L709" s="5"/>
    </row>
    <row r="710" customFormat="false" ht="13.35" hidden="false" customHeight="true" outlineLevel="0" collapsed="false">
      <c r="A710" s="5" t="str">
        <f aca="false">HYPERLINK("https://www.fabsurplus.com/sdi_catalog/salesItemDetails.do?id=102161")</f>
        <v>https://www.fabsurplus.com/sdi_catalog/salesItemDetails.do?id=102161</v>
      </c>
      <c r="B710" s="5" t="s">
        <v>1931</v>
      </c>
      <c r="C710" s="5" t="s">
        <v>1923</v>
      </c>
      <c r="D710" s="5" t="s">
        <v>1927</v>
      </c>
      <c r="E710" s="5" t="s">
        <v>1932</v>
      </c>
      <c r="F710" s="5" t="s">
        <v>16</v>
      </c>
      <c r="G710" s="5" t="s">
        <v>36</v>
      </c>
      <c r="H710" s="5"/>
      <c r="I710" s="6" t="n">
        <v>36678</v>
      </c>
      <c r="J710" s="5" t="s">
        <v>19</v>
      </c>
      <c r="K710" s="5"/>
      <c r="L710" s="5"/>
    </row>
    <row r="711" customFormat="false" ht="13.35" hidden="false" customHeight="true" outlineLevel="0" collapsed="false">
      <c r="A711" s="2" t="str">
        <f aca="false">HYPERLINK("https://www.fabsurplus.com/sdi_catalog/salesItemDetails.do?id=102160")</f>
        <v>https://www.fabsurplus.com/sdi_catalog/salesItemDetails.do?id=102160</v>
      </c>
      <c r="B711" s="2" t="s">
        <v>1933</v>
      </c>
      <c r="C711" s="2" t="s">
        <v>1923</v>
      </c>
      <c r="D711" s="2" t="s">
        <v>1927</v>
      </c>
      <c r="E711" s="2" t="s">
        <v>1934</v>
      </c>
      <c r="F711" s="2" t="s">
        <v>16</v>
      </c>
      <c r="G711" s="2" t="s">
        <v>36</v>
      </c>
      <c r="H711" s="2"/>
      <c r="I711" s="3" t="n">
        <v>36678</v>
      </c>
      <c r="J711" s="2" t="s">
        <v>19</v>
      </c>
      <c r="K711" s="2"/>
      <c r="L711" s="2"/>
    </row>
    <row r="712" customFormat="false" ht="13.35" hidden="false" customHeight="true" outlineLevel="0" collapsed="false">
      <c r="A712" s="2" t="str">
        <f aca="false">HYPERLINK("https://www.fabsurplus.com/sdi_catalog/salesItemDetails.do?id=102162")</f>
        <v>https://www.fabsurplus.com/sdi_catalog/salesItemDetails.do?id=102162</v>
      </c>
      <c r="B712" s="2" t="s">
        <v>1935</v>
      </c>
      <c r="C712" s="2" t="s">
        <v>1923</v>
      </c>
      <c r="D712" s="2" t="s">
        <v>1927</v>
      </c>
      <c r="E712" s="2" t="s">
        <v>1934</v>
      </c>
      <c r="F712" s="2" t="s">
        <v>16</v>
      </c>
      <c r="G712" s="2" t="s">
        <v>36</v>
      </c>
      <c r="H712" s="2"/>
      <c r="I712" s="3" t="n">
        <v>36678</v>
      </c>
      <c r="J712" s="2" t="s">
        <v>19</v>
      </c>
      <c r="K712" s="2"/>
      <c r="L712" s="2"/>
    </row>
    <row r="713" customFormat="false" ht="13.35" hidden="false" customHeight="true" outlineLevel="0" collapsed="false">
      <c r="A713" s="5" t="str">
        <f aca="false">HYPERLINK("https://www.fabsurplus.com/sdi_catalog/salesItemDetails.do?id=102163")</f>
        <v>https://www.fabsurplus.com/sdi_catalog/salesItemDetails.do?id=102163</v>
      </c>
      <c r="B713" s="5" t="s">
        <v>1936</v>
      </c>
      <c r="C713" s="5" t="s">
        <v>1923</v>
      </c>
      <c r="D713" s="5" t="s">
        <v>1927</v>
      </c>
      <c r="E713" s="5" t="s">
        <v>1934</v>
      </c>
      <c r="F713" s="5" t="s">
        <v>16</v>
      </c>
      <c r="G713" s="5" t="s">
        <v>36</v>
      </c>
      <c r="H713" s="5"/>
      <c r="I713" s="5"/>
      <c r="J713" s="5" t="s">
        <v>19</v>
      </c>
      <c r="K713" s="5"/>
      <c r="L713" s="5"/>
    </row>
    <row r="714" customFormat="false" ht="13.35" hidden="false" customHeight="true" outlineLevel="0" collapsed="false">
      <c r="A714" s="2" t="str">
        <f aca="false">HYPERLINK("https://www.fabsurplus.com/sdi_catalog/salesItemDetails.do?id=102164")</f>
        <v>https://www.fabsurplus.com/sdi_catalog/salesItemDetails.do?id=102164</v>
      </c>
      <c r="B714" s="2" t="s">
        <v>1937</v>
      </c>
      <c r="C714" s="2" t="s">
        <v>1923</v>
      </c>
      <c r="D714" s="2" t="s">
        <v>1927</v>
      </c>
      <c r="E714" s="2" t="s">
        <v>1934</v>
      </c>
      <c r="F714" s="2" t="s">
        <v>16</v>
      </c>
      <c r="G714" s="2" t="s">
        <v>36</v>
      </c>
      <c r="H714" s="2"/>
      <c r="I714" s="2"/>
      <c r="J714" s="2" t="s">
        <v>19</v>
      </c>
      <c r="K714" s="2"/>
      <c r="L714" s="2"/>
    </row>
    <row r="715" customFormat="false" ht="13.35" hidden="false" customHeight="true" outlineLevel="0" collapsed="false">
      <c r="A715" s="5" t="str">
        <f aca="false">HYPERLINK("https://www.fabsurplus.com/sdi_catalog/salesItemDetails.do?id=102167")</f>
        <v>https://www.fabsurplus.com/sdi_catalog/salesItemDetails.do?id=102167</v>
      </c>
      <c r="B715" s="5" t="s">
        <v>1938</v>
      </c>
      <c r="C715" s="5" t="s">
        <v>1923</v>
      </c>
      <c r="D715" s="5" t="s">
        <v>1927</v>
      </c>
      <c r="E715" s="5" t="s">
        <v>1934</v>
      </c>
      <c r="F715" s="5" t="s">
        <v>16</v>
      </c>
      <c r="G715" s="5" t="s">
        <v>36</v>
      </c>
      <c r="H715" s="5"/>
      <c r="I715" s="5"/>
      <c r="J715" s="5" t="s">
        <v>19</v>
      </c>
      <c r="K715" s="5"/>
      <c r="L715" s="5"/>
    </row>
    <row r="716" customFormat="false" ht="13.35" hidden="false" customHeight="true" outlineLevel="0" collapsed="false">
      <c r="A716" s="2" t="str">
        <f aca="false">HYPERLINK("https://www.fabsurplus.com/sdi_catalog/salesItemDetails.do?id=103025")</f>
        <v>https://www.fabsurplus.com/sdi_catalog/salesItemDetails.do?id=103025</v>
      </c>
      <c r="B716" s="2" t="s">
        <v>1939</v>
      </c>
      <c r="C716" s="2" t="s">
        <v>1940</v>
      </c>
      <c r="D716" s="2" t="s">
        <v>1941</v>
      </c>
      <c r="E716" s="2" t="s">
        <v>1942</v>
      </c>
      <c r="F716" s="2" t="s">
        <v>16</v>
      </c>
      <c r="G716" s="2"/>
      <c r="H716" s="2"/>
      <c r="I716" s="2"/>
      <c r="J716" s="2" t="s">
        <v>19</v>
      </c>
      <c r="K716" s="2"/>
      <c r="L716" s="4" t="s">
        <v>1943</v>
      </c>
    </row>
    <row r="717" customFormat="false" ht="13.35" hidden="false" customHeight="true" outlineLevel="0" collapsed="false">
      <c r="A717" s="5" t="str">
        <f aca="false">HYPERLINK("https://www.fabsurplus.com/sdi_catalog/salesItemDetails.do?id=103149")</f>
        <v>https://www.fabsurplus.com/sdi_catalog/salesItemDetails.do?id=103149</v>
      </c>
      <c r="B717" s="5" t="s">
        <v>1944</v>
      </c>
      <c r="C717" s="5" t="s">
        <v>1945</v>
      </c>
      <c r="D717" s="5" t="s">
        <v>1946</v>
      </c>
      <c r="E717" s="5" t="s">
        <v>1947</v>
      </c>
      <c r="F717" s="5" t="s">
        <v>16</v>
      </c>
      <c r="G717" s="5" t="s">
        <v>36</v>
      </c>
      <c r="H717" s="5"/>
      <c r="I717" s="5"/>
      <c r="J717" s="5" t="s">
        <v>47</v>
      </c>
      <c r="K717" s="5"/>
      <c r="L717" s="5"/>
    </row>
    <row r="718" customFormat="false" ht="13.35" hidden="false" customHeight="true" outlineLevel="0" collapsed="false">
      <c r="A718" s="2" t="str">
        <f aca="false">HYPERLINK("https://www.fabsurplus.com/sdi_catalog/salesItemDetails.do?id=103150")</f>
        <v>https://www.fabsurplus.com/sdi_catalog/salesItemDetails.do?id=103150</v>
      </c>
      <c r="B718" s="2" t="s">
        <v>1948</v>
      </c>
      <c r="C718" s="2" t="s">
        <v>1945</v>
      </c>
      <c r="D718" s="2" t="s">
        <v>1949</v>
      </c>
      <c r="E718" s="2" t="s">
        <v>1950</v>
      </c>
      <c r="F718" s="2" t="s">
        <v>16</v>
      </c>
      <c r="G718" s="2" t="s">
        <v>36</v>
      </c>
      <c r="H718" s="2"/>
      <c r="I718" s="2"/>
      <c r="J718" s="2" t="s">
        <v>47</v>
      </c>
      <c r="K718" s="2"/>
      <c r="L718" s="2"/>
    </row>
    <row r="719" customFormat="false" ht="13.35" hidden="false" customHeight="true" outlineLevel="0" collapsed="false">
      <c r="A719" s="2" t="str">
        <f aca="false">HYPERLINK("https://www.fabsurplus.com/sdi_catalog/salesItemDetails.do?id=102952")</f>
        <v>https://www.fabsurplus.com/sdi_catalog/salesItemDetails.do?id=102952</v>
      </c>
      <c r="B719" s="2" t="s">
        <v>1951</v>
      </c>
      <c r="C719" s="2" t="s">
        <v>1952</v>
      </c>
      <c r="D719" s="2" t="s">
        <v>1953</v>
      </c>
      <c r="E719" s="2" t="s">
        <v>1954</v>
      </c>
      <c r="F719" s="2" t="s">
        <v>16</v>
      </c>
      <c r="G719" s="2" t="s">
        <v>499</v>
      </c>
      <c r="H719" s="2"/>
      <c r="I719" s="3" t="n">
        <v>40695</v>
      </c>
      <c r="J719" s="2" t="s">
        <v>19</v>
      </c>
      <c r="K719" s="2"/>
      <c r="L719" s="2"/>
    </row>
    <row r="720" customFormat="false" ht="13.35" hidden="false" customHeight="true" outlineLevel="0" collapsed="false">
      <c r="A720" s="5" t="str">
        <f aca="false">HYPERLINK("https://www.fabsurplus.com/sdi_catalog/salesItemDetails.do?id=103151")</f>
        <v>https://www.fabsurplus.com/sdi_catalog/salesItemDetails.do?id=103151</v>
      </c>
      <c r="B720" s="5" t="s">
        <v>1955</v>
      </c>
      <c r="C720" s="5" t="s">
        <v>1956</v>
      </c>
      <c r="D720" s="5" t="s">
        <v>1957</v>
      </c>
      <c r="E720" s="5" t="s">
        <v>1958</v>
      </c>
      <c r="F720" s="5" t="s">
        <v>16</v>
      </c>
      <c r="G720" s="5" t="s">
        <v>36</v>
      </c>
      <c r="H720" s="5"/>
      <c r="I720" s="5"/>
      <c r="J720" s="5" t="s">
        <v>47</v>
      </c>
      <c r="K720" s="5"/>
      <c r="L720" s="5" t="s">
        <v>1959</v>
      </c>
    </row>
    <row r="721" customFormat="false" ht="13.35" hidden="false" customHeight="true" outlineLevel="0" collapsed="false">
      <c r="A721" s="2" t="str">
        <f aca="false">HYPERLINK("https://www.fabsurplus.com/sdi_catalog/salesItemDetails.do?id=100701")</f>
        <v>https://www.fabsurplus.com/sdi_catalog/salesItemDetails.do?id=100701</v>
      </c>
      <c r="B721" s="2" t="s">
        <v>1960</v>
      </c>
      <c r="C721" s="2" t="s">
        <v>1961</v>
      </c>
      <c r="D721" s="2" t="s">
        <v>1962</v>
      </c>
      <c r="E721" s="2" t="s">
        <v>1963</v>
      </c>
      <c r="F721" s="2" t="s">
        <v>16</v>
      </c>
      <c r="G721" s="2" t="s">
        <v>1964</v>
      </c>
      <c r="H721" s="2" t="s">
        <v>18</v>
      </c>
      <c r="I721" s="3" t="n">
        <v>39965</v>
      </c>
      <c r="J721" s="2" t="s">
        <v>19</v>
      </c>
      <c r="K721" s="2" t="s">
        <v>20</v>
      </c>
      <c r="L721" s="2" t="s">
        <v>584</v>
      </c>
    </row>
    <row r="722" customFormat="false" ht="13.35" hidden="false" customHeight="true" outlineLevel="0" collapsed="false">
      <c r="A722" s="5" t="str">
        <f aca="false">HYPERLINK("https://www.fabsurplus.com/sdi_catalog/salesItemDetails.do?id=103027")</f>
        <v>https://www.fabsurplus.com/sdi_catalog/salesItemDetails.do?id=103027</v>
      </c>
      <c r="B722" s="5" t="s">
        <v>1965</v>
      </c>
      <c r="C722" s="5" t="s">
        <v>1966</v>
      </c>
      <c r="D722" s="5" t="s">
        <v>1967</v>
      </c>
      <c r="E722" s="5" t="s">
        <v>1968</v>
      </c>
      <c r="F722" s="5" t="s">
        <v>16</v>
      </c>
      <c r="G722" s="5"/>
      <c r="H722" s="5"/>
      <c r="I722" s="5"/>
      <c r="J722" s="5" t="s">
        <v>19</v>
      </c>
      <c r="K722" s="5"/>
      <c r="L722" s="7" t="s">
        <v>1969</v>
      </c>
    </row>
    <row r="723" customFormat="false" ht="13.35" hidden="false" customHeight="true" outlineLevel="0" collapsed="false">
      <c r="A723" s="5" t="str">
        <f aca="false">HYPERLINK("https://www.fabsurplus.com/sdi_catalog/salesItemDetails.do?id=102578")</f>
        <v>https://www.fabsurplus.com/sdi_catalog/salesItemDetails.do?id=102578</v>
      </c>
      <c r="B723" s="5" t="s">
        <v>1970</v>
      </c>
      <c r="C723" s="5" t="s">
        <v>1971</v>
      </c>
      <c r="D723" s="5" t="s">
        <v>1972</v>
      </c>
      <c r="E723" s="5" t="s">
        <v>1973</v>
      </c>
      <c r="F723" s="5" t="s">
        <v>16</v>
      </c>
      <c r="G723" s="5"/>
      <c r="H723" s="5" t="s">
        <v>1974</v>
      </c>
      <c r="I723" s="6" t="n">
        <v>43617</v>
      </c>
      <c r="J723" s="5" t="s">
        <v>19</v>
      </c>
      <c r="K723" s="5" t="s">
        <v>20</v>
      </c>
      <c r="L723" s="7" t="s">
        <v>1975</v>
      </c>
    </row>
    <row r="724" customFormat="false" ht="13.35" hidden="false" customHeight="true" outlineLevel="0" collapsed="false">
      <c r="A724" s="2" t="str">
        <f aca="false">HYPERLINK("https://www.fabsurplus.com/sdi_catalog/salesItemDetails.do?id=87984")</f>
        <v>https://www.fabsurplus.com/sdi_catalog/salesItemDetails.do?id=87984</v>
      </c>
      <c r="B724" s="2" t="s">
        <v>1976</v>
      </c>
      <c r="C724" s="2" t="s">
        <v>1977</v>
      </c>
      <c r="D724" s="2" t="s">
        <v>1627</v>
      </c>
      <c r="E724" s="2" t="s">
        <v>87</v>
      </c>
      <c r="F724" s="2" t="s">
        <v>16</v>
      </c>
      <c r="G724" s="2" t="s">
        <v>88</v>
      </c>
      <c r="H724" s="2"/>
      <c r="I724" s="2"/>
      <c r="J724" s="2" t="s">
        <v>19</v>
      </c>
      <c r="K724" s="2"/>
      <c r="L724" s="2" t="s">
        <v>89</v>
      </c>
    </row>
    <row r="725" customFormat="false" ht="13.35" hidden="false" customHeight="true" outlineLevel="0" collapsed="false">
      <c r="A725" s="5" t="str">
        <f aca="false">HYPERLINK("https://www.fabsurplus.com/sdi_catalog/salesItemDetails.do?id=101738")</f>
        <v>https://www.fabsurplus.com/sdi_catalog/salesItemDetails.do?id=101738</v>
      </c>
      <c r="B725" s="5" t="s">
        <v>1978</v>
      </c>
      <c r="C725" s="5" t="s">
        <v>1977</v>
      </c>
      <c r="D725" s="5" t="s">
        <v>1979</v>
      </c>
      <c r="E725" s="5" t="s">
        <v>87</v>
      </c>
      <c r="F725" s="5" t="s">
        <v>16</v>
      </c>
      <c r="G725" s="5"/>
      <c r="H725" s="5" t="s">
        <v>96</v>
      </c>
      <c r="I725" s="6" t="n">
        <v>42795</v>
      </c>
      <c r="J725" s="5" t="s">
        <v>403</v>
      </c>
      <c r="K725" s="5" t="s">
        <v>20</v>
      </c>
      <c r="L725" s="7" t="s">
        <v>1980</v>
      </c>
    </row>
    <row r="726" customFormat="false" ht="13.35" hidden="false" customHeight="true" outlineLevel="0" collapsed="false">
      <c r="A726" s="5" t="str">
        <f aca="false">HYPERLINK("https://www.fabsurplus.com/sdi_catalog/salesItemDetails.do?id=87985")</f>
        <v>https://www.fabsurplus.com/sdi_catalog/salesItemDetails.do?id=87985</v>
      </c>
      <c r="B726" s="5" t="s">
        <v>1981</v>
      </c>
      <c r="C726" s="5" t="s">
        <v>1977</v>
      </c>
      <c r="D726" s="5" t="s">
        <v>1979</v>
      </c>
      <c r="E726" s="5" t="s">
        <v>87</v>
      </c>
      <c r="F726" s="5" t="s">
        <v>16</v>
      </c>
      <c r="G726" s="5" t="s">
        <v>88</v>
      </c>
      <c r="H726" s="5"/>
      <c r="I726" s="5"/>
      <c r="J726" s="5" t="s">
        <v>19</v>
      </c>
      <c r="K726" s="5"/>
      <c r="L726" s="5" t="s">
        <v>89</v>
      </c>
    </row>
    <row r="727" customFormat="false" ht="13.35" hidden="false" customHeight="true" outlineLevel="0" collapsed="false">
      <c r="A727" s="2" t="str">
        <f aca="false">HYPERLINK("https://www.fabsurplus.com/sdi_catalog/salesItemDetails.do?id=87986")</f>
        <v>https://www.fabsurplus.com/sdi_catalog/salesItemDetails.do?id=87986</v>
      </c>
      <c r="B727" s="2" t="s">
        <v>1982</v>
      </c>
      <c r="C727" s="2" t="s">
        <v>1977</v>
      </c>
      <c r="D727" s="2" t="s">
        <v>1983</v>
      </c>
      <c r="E727" s="2" t="s">
        <v>87</v>
      </c>
      <c r="F727" s="2" t="s">
        <v>51</v>
      </c>
      <c r="G727" s="2" t="s">
        <v>88</v>
      </c>
      <c r="H727" s="2"/>
      <c r="I727" s="2"/>
      <c r="J727" s="2" t="s">
        <v>19</v>
      </c>
      <c r="K727" s="2"/>
      <c r="L727" s="2" t="s">
        <v>89</v>
      </c>
    </row>
    <row r="728" customFormat="false" ht="13.35" hidden="false" customHeight="true" outlineLevel="0" collapsed="false">
      <c r="A728" s="5" t="str">
        <f aca="false">HYPERLINK("https://www.fabsurplus.com/sdi_catalog/salesItemDetails.do?id=87987")</f>
        <v>https://www.fabsurplus.com/sdi_catalog/salesItemDetails.do?id=87987</v>
      </c>
      <c r="B728" s="5" t="s">
        <v>1984</v>
      </c>
      <c r="C728" s="5" t="s">
        <v>1977</v>
      </c>
      <c r="D728" s="5" t="s">
        <v>1985</v>
      </c>
      <c r="E728" s="5" t="s">
        <v>87</v>
      </c>
      <c r="F728" s="5" t="s">
        <v>16</v>
      </c>
      <c r="G728" s="5" t="s">
        <v>88</v>
      </c>
      <c r="H728" s="5"/>
      <c r="I728" s="5"/>
      <c r="J728" s="5" t="s">
        <v>19</v>
      </c>
      <c r="K728" s="5"/>
      <c r="L728" s="5" t="s">
        <v>89</v>
      </c>
    </row>
    <row r="729" customFormat="false" ht="13.35" hidden="false" customHeight="true" outlineLevel="0" collapsed="false">
      <c r="A729" s="2" t="str">
        <f aca="false">HYPERLINK("https://www.fabsurplus.com/sdi_catalog/salesItemDetails.do?id=87988")</f>
        <v>https://www.fabsurplus.com/sdi_catalog/salesItemDetails.do?id=87988</v>
      </c>
      <c r="B729" s="2" t="s">
        <v>1986</v>
      </c>
      <c r="C729" s="2" t="s">
        <v>1977</v>
      </c>
      <c r="D729" s="2" t="s">
        <v>1987</v>
      </c>
      <c r="E729" s="2" t="s">
        <v>87</v>
      </c>
      <c r="F729" s="2" t="s">
        <v>1988</v>
      </c>
      <c r="G729" s="2" t="s">
        <v>88</v>
      </c>
      <c r="H729" s="2"/>
      <c r="I729" s="2"/>
      <c r="J729" s="2" t="s">
        <v>19</v>
      </c>
      <c r="K729" s="2"/>
      <c r="L729" s="2" t="s">
        <v>89</v>
      </c>
    </row>
    <row r="730" customFormat="false" ht="13.35" hidden="false" customHeight="true" outlineLevel="0" collapsed="false">
      <c r="A730" s="5" t="str">
        <f aca="false">HYPERLINK("https://www.fabsurplus.com/sdi_catalog/salesItemDetails.do?id=87989")</f>
        <v>https://www.fabsurplus.com/sdi_catalog/salesItemDetails.do?id=87989</v>
      </c>
      <c r="B730" s="5" t="s">
        <v>1989</v>
      </c>
      <c r="C730" s="5" t="s">
        <v>1977</v>
      </c>
      <c r="D730" s="5" t="s">
        <v>1990</v>
      </c>
      <c r="E730" s="5" t="s">
        <v>87</v>
      </c>
      <c r="F730" s="5" t="s">
        <v>125</v>
      </c>
      <c r="G730" s="5" t="s">
        <v>88</v>
      </c>
      <c r="H730" s="5"/>
      <c r="I730" s="5"/>
      <c r="J730" s="5" t="s">
        <v>19</v>
      </c>
      <c r="K730" s="5"/>
      <c r="L730" s="5" t="s">
        <v>89</v>
      </c>
    </row>
    <row r="731" customFormat="false" ht="13.35" hidden="false" customHeight="true" outlineLevel="0" collapsed="false">
      <c r="A731" s="2" t="str">
        <f aca="false">HYPERLINK("https://www.fabsurplus.com/sdi_catalog/salesItemDetails.do?id=87990")</f>
        <v>https://www.fabsurplus.com/sdi_catalog/salesItemDetails.do?id=87990</v>
      </c>
      <c r="B731" s="2" t="s">
        <v>1991</v>
      </c>
      <c r="C731" s="2" t="s">
        <v>1977</v>
      </c>
      <c r="D731" s="2" t="s">
        <v>1992</v>
      </c>
      <c r="E731" s="2" t="s">
        <v>87</v>
      </c>
      <c r="F731" s="2" t="s">
        <v>16</v>
      </c>
      <c r="G731" s="2" t="s">
        <v>88</v>
      </c>
      <c r="H731" s="2"/>
      <c r="I731" s="2"/>
      <c r="J731" s="2" t="s">
        <v>19</v>
      </c>
      <c r="K731" s="2"/>
      <c r="L731" s="2" t="s">
        <v>89</v>
      </c>
    </row>
    <row r="732" customFormat="false" ht="13.35" hidden="false" customHeight="true" outlineLevel="0" collapsed="false">
      <c r="A732" s="5" t="str">
        <f aca="false">HYPERLINK("https://www.fabsurplus.com/sdi_catalog/salesItemDetails.do?id=87991")</f>
        <v>https://www.fabsurplus.com/sdi_catalog/salesItemDetails.do?id=87991</v>
      </c>
      <c r="B732" s="5" t="s">
        <v>1993</v>
      </c>
      <c r="C732" s="5" t="s">
        <v>1977</v>
      </c>
      <c r="D732" s="5" t="s">
        <v>1994</v>
      </c>
      <c r="E732" s="5" t="s">
        <v>87</v>
      </c>
      <c r="F732" s="5" t="s">
        <v>1995</v>
      </c>
      <c r="G732" s="5" t="s">
        <v>88</v>
      </c>
      <c r="H732" s="5"/>
      <c r="I732" s="5"/>
      <c r="J732" s="5" t="s">
        <v>19</v>
      </c>
      <c r="K732" s="5"/>
      <c r="L732" s="5" t="s">
        <v>89</v>
      </c>
    </row>
    <row r="733" customFormat="false" ht="13.35" hidden="false" customHeight="true" outlineLevel="0" collapsed="false">
      <c r="A733" s="2" t="str">
        <f aca="false">HYPERLINK("https://www.fabsurplus.com/sdi_catalog/salesItemDetails.do?id=87992")</f>
        <v>https://www.fabsurplus.com/sdi_catalog/salesItemDetails.do?id=87992</v>
      </c>
      <c r="B733" s="2" t="s">
        <v>1996</v>
      </c>
      <c r="C733" s="2" t="s">
        <v>1977</v>
      </c>
      <c r="D733" s="2" t="s">
        <v>1997</v>
      </c>
      <c r="E733" s="2" t="s">
        <v>87</v>
      </c>
      <c r="F733" s="2" t="s">
        <v>176</v>
      </c>
      <c r="G733" s="2" t="s">
        <v>88</v>
      </c>
      <c r="H733" s="2"/>
      <c r="I733" s="2"/>
      <c r="J733" s="2" t="s">
        <v>19</v>
      </c>
      <c r="K733" s="2"/>
      <c r="L733" s="2" t="s">
        <v>89</v>
      </c>
    </row>
    <row r="734" customFormat="false" ht="13.35" hidden="false" customHeight="true" outlineLevel="0" collapsed="false">
      <c r="A734" s="5" t="str">
        <f aca="false">HYPERLINK("https://www.fabsurplus.com/sdi_catalog/salesItemDetails.do?id=87993")</f>
        <v>https://www.fabsurplus.com/sdi_catalog/salesItemDetails.do?id=87993</v>
      </c>
      <c r="B734" s="5" t="s">
        <v>1998</v>
      </c>
      <c r="C734" s="5" t="s">
        <v>1977</v>
      </c>
      <c r="D734" s="5" t="s">
        <v>1999</v>
      </c>
      <c r="E734" s="5" t="s">
        <v>87</v>
      </c>
      <c r="F734" s="5" t="s">
        <v>2000</v>
      </c>
      <c r="G734" s="5" t="s">
        <v>88</v>
      </c>
      <c r="H734" s="5"/>
      <c r="I734" s="5"/>
      <c r="J734" s="5" t="s">
        <v>19</v>
      </c>
      <c r="K734" s="5"/>
      <c r="L734" s="5" t="s">
        <v>89</v>
      </c>
    </row>
    <row r="735" customFormat="false" ht="13.35" hidden="false" customHeight="true" outlineLevel="0" collapsed="false">
      <c r="A735" s="2" t="str">
        <f aca="false">HYPERLINK("https://www.fabsurplus.com/sdi_catalog/salesItemDetails.do?id=87994")</f>
        <v>https://www.fabsurplus.com/sdi_catalog/salesItemDetails.do?id=87994</v>
      </c>
      <c r="B735" s="2" t="s">
        <v>2001</v>
      </c>
      <c r="C735" s="2" t="s">
        <v>1977</v>
      </c>
      <c r="D735" s="2" t="s">
        <v>2002</v>
      </c>
      <c r="E735" s="2" t="s">
        <v>87</v>
      </c>
      <c r="F735" s="2" t="s">
        <v>609</v>
      </c>
      <c r="G735" s="2" t="s">
        <v>88</v>
      </c>
      <c r="H735" s="2"/>
      <c r="I735" s="2"/>
      <c r="J735" s="2" t="s">
        <v>19</v>
      </c>
      <c r="K735" s="2"/>
      <c r="L735" s="2" t="s">
        <v>89</v>
      </c>
    </row>
    <row r="736" customFormat="false" ht="13.35" hidden="false" customHeight="true" outlineLevel="0" collapsed="false">
      <c r="A736" s="5" t="str">
        <f aca="false">HYPERLINK("https://www.fabsurplus.com/sdi_catalog/salesItemDetails.do?id=87995")</f>
        <v>https://www.fabsurplus.com/sdi_catalog/salesItemDetails.do?id=87995</v>
      </c>
      <c r="B736" s="5" t="s">
        <v>2003</v>
      </c>
      <c r="C736" s="5" t="s">
        <v>1977</v>
      </c>
      <c r="D736" s="5" t="s">
        <v>2004</v>
      </c>
      <c r="E736" s="5" t="s">
        <v>87</v>
      </c>
      <c r="F736" s="5" t="s">
        <v>16</v>
      </c>
      <c r="G736" s="5" t="s">
        <v>88</v>
      </c>
      <c r="H736" s="5"/>
      <c r="I736" s="5"/>
      <c r="J736" s="5" t="s">
        <v>19</v>
      </c>
      <c r="K736" s="5"/>
      <c r="L736" s="5" t="s">
        <v>89</v>
      </c>
    </row>
    <row r="737" customFormat="false" ht="13.35" hidden="false" customHeight="true" outlineLevel="0" collapsed="false">
      <c r="A737" s="5" t="str">
        <f aca="false">HYPERLINK("https://www.fabsurplus.com/sdi_catalog/salesItemDetails.do?id=87997")</f>
        <v>https://www.fabsurplus.com/sdi_catalog/salesItemDetails.do?id=87997</v>
      </c>
      <c r="B737" s="5" t="s">
        <v>2005</v>
      </c>
      <c r="C737" s="5" t="s">
        <v>2006</v>
      </c>
      <c r="D737" s="5" t="s">
        <v>2007</v>
      </c>
      <c r="E737" s="5" t="s">
        <v>87</v>
      </c>
      <c r="F737" s="5" t="s">
        <v>16</v>
      </c>
      <c r="G737" s="5" t="s">
        <v>88</v>
      </c>
      <c r="H737" s="5"/>
      <c r="I737" s="5"/>
      <c r="J737" s="5" t="s">
        <v>19</v>
      </c>
      <c r="K737" s="5"/>
      <c r="L737" s="5" t="s">
        <v>89</v>
      </c>
    </row>
    <row r="738" customFormat="false" ht="13.35" hidden="false" customHeight="true" outlineLevel="0" collapsed="false">
      <c r="A738" s="2" t="str">
        <f aca="false">HYPERLINK("https://www.fabsurplus.com/sdi_catalog/salesItemDetails.do?id=87998")</f>
        <v>https://www.fabsurplus.com/sdi_catalog/salesItemDetails.do?id=87998</v>
      </c>
      <c r="B738" s="2" t="s">
        <v>2008</v>
      </c>
      <c r="C738" s="2" t="s">
        <v>2006</v>
      </c>
      <c r="D738" s="2" t="s">
        <v>2009</v>
      </c>
      <c r="E738" s="2" t="s">
        <v>87</v>
      </c>
      <c r="F738" s="2" t="s">
        <v>46</v>
      </c>
      <c r="G738" s="2" t="s">
        <v>88</v>
      </c>
      <c r="H738" s="2"/>
      <c r="I738" s="2"/>
      <c r="J738" s="2" t="s">
        <v>19</v>
      </c>
      <c r="K738" s="2"/>
      <c r="L738" s="2" t="s">
        <v>89</v>
      </c>
    </row>
    <row r="739" customFormat="false" ht="13.35" hidden="false" customHeight="true" outlineLevel="0" collapsed="false">
      <c r="A739" s="2" t="str">
        <f aca="false">HYPERLINK("https://www.fabsurplus.com/sdi_catalog/salesItemDetails.do?id=87996")</f>
        <v>https://www.fabsurplus.com/sdi_catalog/salesItemDetails.do?id=87996</v>
      </c>
      <c r="B739" s="2" t="s">
        <v>2010</v>
      </c>
      <c r="C739" s="2" t="s">
        <v>2006</v>
      </c>
      <c r="D739" s="2" t="s">
        <v>2011</v>
      </c>
      <c r="E739" s="2" t="s">
        <v>87</v>
      </c>
      <c r="F739" s="2" t="s">
        <v>16</v>
      </c>
      <c r="G739" s="2" t="s">
        <v>88</v>
      </c>
      <c r="H739" s="2"/>
      <c r="I739" s="2"/>
      <c r="J739" s="2" t="s">
        <v>19</v>
      </c>
      <c r="K739" s="2"/>
      <c r="L739" s="2" t="s">
        <v>89</v>
      </c>
    </row>
    <row r="740" customFormat="false" ht="13.35" hidden="false" customHeight="true" outlineLevel="0" collapsed="false">
      <c r="A740" s="5" t="str">
        <f aca="false">HYPERLINK("https://www.fabsurplus.com/sdi_catalog/salesItemDetails.do?id=87999")</f>
        <v>https://www.fabsurplus.com/sdi_catalog/salesItemDetails.do?id=87999</v>
      </c>
      <c r="B740" s="5" t="s">
        <v>2012</v>
      </c>
      <c r="C740" s="5" t="s">
        <v>2006</v>
      </c>
      <c r="D740" s="5" t="s">
        <v>2013</v>
      </c>
      <c r="E740" s="5" t="s">
        <v>87</v>
      </c>
      <c r="F740" s="5" t="s">
        <v>51</v>
      </c>
      <c r="G740" s="5" t="s">
        <v>88</v>
      </c>
      <c r="H740" s="5"/>
      <c r="I740" s="5"/>
      <c r="J740" s="5" t="s">
        <v>19</v>
      </c>
      <c r="K740" s="5"/>
      <c r="L740" s="5" t="s">
        <v>89</v>
      </c>
    </row>
    <row r="741" customFormat="false" ht="13.35" hidden="false" customHeight="true" outlineLevel="0" collapsed="false">
      <c r="A741" s="2" t="str">
        <f aca="false">HYPERLINK("https://www.fabsurplus.com/sdi_catalog/salesItemDetails.do?id=88000")</f>
        <v>https://www.fabsurplus.com/sdi_catalog/salesItemDetails.do?id=88000</v>
      </c>
      <c r="B741" s="2" t="s">
        <v>2014</v>
      </c>
      <c r="C741" s="2" t="s">
        <v>2006</v>
      </c>
      <c r="D741" s="2" t="s">
        <v>2015</v>
      </c>
      <c r="E741" s="2" t="s">
        <v>87</v>
      </c>
      <c r="F741" s="2" t="s">
        <v>125</v>
      </c>
      <c r="G741" s="2" t="s">
        <v>88</v>
      </c>
      <c r="H741" s="2"/>
      <c r="I741" s="2"/>
      <c r="J741" s="2" t="s">
        <v>19</v>
      </c>
      <c r="K741" s="2"/>
      <c r="L741" s="2" t="s">
        <v>89</v>
      </c>
    </row>
    <row r="742" customFormat="false" ht="13.35" hidden="false" customHeight="true" outlineLevel="0" collapsed="false">
      <c r="A742" s="5" t="str">
        <f aca="false">HYPERLINK("https://www.fabsurplus.com/sdi_catalog/salesItemDetails.do?id=102646")</f>
        <v>https://www.fabsurplus.com/sdi_catalog/salesItemDetails.do?id=102646</v>
      </c>
      <c r="B742" s="5" t="s">
        <v>2016</v>
      </c>
      <c r="C742" s="5" t="s">
        <v>14</v>
      </c>
      <c r="D742" s="5" t="s">
        <v>2017</v>
      </c>
      <c r="E742" s="5" t="s">
        <v>2018</v>
      </c>
      <c r="F742" s="5" t="s">
        <v>16</v>
      </c>
      <c r="G742" s="5"/>
      <c r="H742" s="5" t="s">
        <v>26</v>
      </c>
      <c r="I742" s="5"/>
      <c r="J742" s="5" t="s">
        <v>47</v>
      </c>
      <c r="K742" s="5" t="s">
        <v>20</v>
      </c>
      <c r="L742" s="7" t="s">
        <v>2019</v>
      </c>
    </row>
    <row r="743" customFormat="false" ht="13.35" hidden="false" customHeight="true" outlineLevel="0" collapsed="false">
      <c r="A743" s="5" t="str">
        <f aca="false">HYPERLINK("https://www.fabsurplus.com/sdi_catalog/salesItemDetails.do?id=94021")</f>
        <v>https://www.fabsurplus.com/sdi_catalog/salesItemDetails.do?id=94021</v>
      </c>
      <c r="B743" s="5" t="s">
        <v>2020</v>
      </c>
      <c r="C743" s="5" t="s">
        <v>14</v>
      </c>
      <c r="D743" s="5" t="s">
        <v>2021</v>
      </c>
      <c r="E743" s="5" t="s">
        <v>2022</v>
      </c>
      <c r="F743" s="5" t="s">
        <v>16</v>
      </c>
      <c r="G743" s="5" t="s">
        <v>160</v>
      </c>
      <c r="H743" s="5" t="s">
        <v>18</v>
      </c>
      <c r="I743" s="5"/>
      <c r="J743" s="5" t="s">
        <v>19</v>
      </c>
      <c r="K743" s="5" t="s">
        <v>20</v>
      </c>
      <c r="L743" s="7" t="s">
        <v>2023</v>
      </c>
    </row>
    <row r="744" customFormat="false" ht="13.35" hidden="false" customHeight="true" outlineLevel="0" collapsed="false">
      <c r="A744" s="5" t="str">
        <f aca="false">HYPERLINK("https://www.fabsurplus.com/sdi_catalog/salesItemDetails.do?id=87513")</f>
        <v>https://www.fabsurplus.com/sdi_catalog/salesItemDetails.do?id=87513</v>
      </c>
      <c r="B744" s="5" t="s">
        <v>2024</v>
      </c>
      <c r="C744" s="5" t="s">
        <v>2025</v>
      </c>
      <c r="D744" s="5"/>
      <c r="E744" s="5" t="s">
        <v>2026</v>
      </c>
      <c r="F744" s="5" t="s">
        <v>176</v>
      </c>
      <c r="G744" s="5" t="s">
        <v>2027</v>
      </c>
      <c r="H744" s="5" t="s">
        <v>18</v>
      </c>
      <c r="I744" s="5"/>
      <c r="J744" s="5" t="s">
        <v>19</v>
      </c>
      <c r="K744" s="5" t="s">
        <v>20</v>
      </c>
      <c r="L744" s="7" t="s">
        <v>2028</v>
      </c>
    </row>
    <row r="745" customFormat="false" ht="13.35" hidden="false" customHeight="true" outlineLevel="0" collapsed="false">
      <c r="A745" s="2" t="str">
        <f aca="false">HYPERLINK("https://www.fabsurplus.com/sdi_catalog/salesItemDetails.do?id=99395")</f>
        <v>https://www.fabsurplus.com/sdi_catalog/salesItemDetails.do?id=99395</v>
      </c>
      <c r="B745" s="2" t="s">
        <v>2029</v>
      </c>
      <c r="C745" s="2" t="s">
        <v>2030</v>
      </c>
      <c r="D745" s="2" t="s">
        <v>2031</v>
      </c>
      <c r="E745" s="2" t="s">
        <v>2032</v>
      </c>
      <c r="F745" s="2" t="s">
        <v>16</v>
      </c>
      <c r="G745" s="2"/>
      <c r="H745" s="2" t="s">
        <v>26</v>
      </c>
      <c r="I745" s="3" t="n">
        <v>34731</v>
      </c>
      <c r="J745" s="2" t="s">
        <v>19</v>
      </c>
      <c r="K745" s="2" t="s">
        <v>20</v>
      </c>
      <c r="L745" s="4" t="s">
        <v>2033</v>
      </c>
    </row>
    <row r="746" customFormat="false" ht="13.35" hidden="false" customHeight="true" outlineLevel="0" collapsed="false">
      <c r="A746" s="2" t="str">
        <f aca="false">HYPERLINK("https://www.fabsurplus.com/sdi_catalog/salesItemDetails.do?id=101691")</f>
        <v>https://www.fabsurplus.com/sdi_catalog/salesItemDetails.do?id=101691</v>
      </c>
      <c r="B746" s="2" t="s">
        <v>2034</v>
      </c>
      <c r="C746" s="2" t="s">
        <v>2035</v>
      </c>
      <c r="D746" s="2" t="s">
        <v>2036</v>
      </c>
      <c r="E746" s="2" t="s">
        <v>2037</v>
      </c>
      <c r="F746" s="2" t="s">
        <v>16</v>
      </c>
      <c r="G746" s="2"/>
      <c r="H746" s="2" t="s">
        <v>26</v>
      </c>
      <c r="I746" s="2"/>
      <c r="J746" s="2" t="s">
        <v>19</v>
      </c>
      <c r="K746" s="2" t="s">
        <v>20</v>
      </c>
      <c r="L746" s="4" t="s">
        <v>2038</v>
      </c>
    </row>
    <row r="747" customFormat="false" ht="13.35" hidden="false" customHeight="true" outlineLevel="0" collapsed="false">
      <c r="A747" s="5" t="str">
        <f aca="false">HYPERLINK("https://www.fabsurplus.com/sdi_catalog/salesItemDetails.do?id=61184")</f>
        <v>https://www.fabsurplus.com/sdi_catalog/salesItemDetails.do?id=61184</v>
      </c>
      <c r="B747" s="5" t="s">
        <v>2039</v>
      </c>
      <c r="C747" s="5" t="s">
        <v>2040</v>
      </c>
      <c r="D747" s="5" t="s">
        <v>2041</v>
      </c>
      <c r="E747" s="5" t="s">
        <v>2042</v>
      </c>
      <c r="F747" s="5" t="s">
        <v>16</v>
      </c>
      <c r="G747" s="5"/>
      <c r="H747" s="5"/>
      <c r="I747" s="5"/>
      <c r="J747" s="5" t="s">
        <v>19</v>
      </c>
      <c r="K747" s="5"/>
      <c r="L747" s="5"/>
    </row>
    <row r="748" customFormat="false" ht="13.35" hidden="false" customHeight="true" outlineLevel="0" collapsed="false">
      <c r="A748" s="2" t="str">
        <f aca="false">HYPERLINK("https://www.fabsurplus.com/sdi_catalog/salesItemDetails.do?id=92460")</f>
        <v>https://www.fabsurplus.com/sdi_catalog/salesItemDetails.do?id=92460</v>
      </c>
      <c r="B748" s="2" t="s">
        <v>2043</v>
      </c>
      <c r="C748" s="2" t="s">
        <v>2044</v>
      </c>
      <c r="D748" s="2" t="s">
        <v>2045</v>
      </c>
      <c r="E748" s="2" t="s">
        <v>229</v>
      </c>
      <c r="F748" s="2" t="s">
        <v>16</v>
      </c>
      <c r="G748" s="2"/>
      <c r="H748" s="2"/>
      <c r="I748" s="2"/>
      <c r="J748" s="2" t="s">
        <v>47</v>
      </c>
      <c r="K748" s="2"/>
      <c r="L748" s="2" t="s">
        <v>48</v>
      </c>
    </row>
    <row r="749" customFormat="false" ht="13.35" hidden="false" customHeight="true" outlineLevel="0" collapsed="false">
      <c r="A749" s="5" t="str">
        <f aca="false">HYPERLINK("https://www.fabsurplus.com/sdi_catalog/salesItemDetails.do?id=56897")</f>
        <v>https://www.fabsurplus.com/sdi_catalog/salesItemDetails.do?id=56897</v>
      </c>
      <c r="B749" s="5" t="s">
        <v>2046</v>
      </c>
      <c r="C749" s="5" t="s">
        <v>2044</v>
      </c>
      <c r="D749" s="5" t="s">
        <v>2045</v>
      </c>
      <c r="E749" s="5" t="s">
        <v>169</v>
      </c>
      <c r="F749" s="5" t="s">
        <v>125</v>
      </c>
      <c r="G749" s="5" t="s">
        <v>181</v>
      </c>
      <c r="H749" s="5" t="s">
        <v>18</v>
      </c>
      <c r="I749" s="6" t="n">
        <v>37742</v>
      </c>
      <c r="J749" s="5" t="s">
        <v>403</v>
      </c>
      <c r="K749" s="5" t="s">
        <v>20</v>
      </c>
      <c r="L749" s="7" t="s">
        <v>2047</v>
      </c>
    </row>
    <row r="750" customFormat="false" ht="13.35" hidden="false" customHeight="true" outlineLevel="0" collapsed="false">
      <c r="A750" s="5" t="str">
        <f aca="false">HYPERLINK("https://www.fabsurplus.com/sdi_catalog/salesItemDetails.do?id=101678")</f>
        <v>https://www.fabsurplus.com/sdi_catalog/salesItemDetails.do?id=101678</v>
      </c>
      <c r="B750" s="5" t="s">
        <v>2048</v>
      </c>
      <c r="C750" s="5" t="s">
        <v>2049</v>
      </c>
      <c r="D750" s="5" t="s">
        <v>2050</v>
      </c>
      <c r="E750" s="5" t="s">
        <v>2051</v>
      </c>
      <c r="F750" s="5" t="s">
        <v>16</v>
      </c>
      <c r="G750" s="5" t="s">
        <v>17</v>
      </c>
      <c r="H750" s="5"/>
      <c r="I750" s="5"/>
      <c r="J750" s="5" t="s">
        <v>47</v>
      </c>
      <c r="K750" s="5"/>
      <c r="L750" s="5" t="s">
        <v>474</v>
      </c>
    </row>
    <row r="751" customFormat="false" ht="13.35" hidden="false" customHeight="true" outlineLevel="0" collapsed="false">
      <c r="A751" s="2" t="str">
        <f aca="false">HYPERLINK("https://www.fabsurplus.com/sdi_catalog/salesItemDetails.do?id=102870")</f>
        <v>https://www.fabsurplus.com/sdi_catalog/salesItemDetails.do?id=102870</v>
      </c>
      <c r="B751" s="2" t="s">
        <v>2052</v>
      </c>
      <c r="C751" s="2" t="s">
        <v>2053</v>
      </c>
      <c r="D751" s="2" t="s">
        <v>2054</v>
      </c>
      <c r="E751" s="2" t="s">
        <v>2055</v>
      </c>
      <c r="F751" s="2" t="s">
        <v>16</v>
      </c>
      <c r="G751" s="2" t="s">
        <v>138</v>
      </c>
      <c r="H751" s="2"/>
      <c r="I751" s="2"/>
      <c r="J751" s="2" t="s">
        <v>19</v>
      </c>
      <c r="K751" s="2"/>
      <c r="L751" s="2" t="s">
        <v>2055</v>
      </c>
    </row>
    <row r="752" customFormat="false" ht="13.35" hidden="false" customHeight="true" outlineLevel="0" collapsed="false">
      <c r="A752" s="5" t="str">
        <f aca="false">HYPERLINK("https://www.fabsurplus.com/sdi_catalog/salesItemDetails.do?id=102869")</f>
        <v>https://www.fabsurplus.com/sdi_catalog/salesItemDetails.do?id=102869</v>
      </c>
      <c r="B752" s="5" t="s">
        <v>2056</v>
      </c>
      <c r="C752" s="5" t="s">
        <v>2053</v>
      </c>
      <c r="D752" s="5" t="s">
        <v>2057</v>
      </c>
      <c r="E752" s="5" t="s">
        <v>2055</v>
      </c>
      <c r="F752" s="5" t="s">
        <v>366</v>
      </c>
      <c r="G752" s="5" t="s">
        <v>138</v>
      </c>
      <c r="H752" s="5"/>
      <c r="I752" s="5"/>
      <c r="J752" s="5" t="s">
        <v>19</v>
      </c>
      <c r="K752" s="5"/>
      <c r="L752" s="7" t="s">
        <v>2058</v>
      </c>
    </row>
    <row r="753" customFormat="false" ht="13.35" hidden="false" customHeight="true" outlineLevel="0" collapsed="false">
      <c r="A753" s="2" t="str">
        <f aca="false">HYPERLINK("https://www.fabsurplus.com/sdi_catalog/salesItemDetails.do?id=103028")</f>
        <v>https://www.fabsurplus.com/sdi_catalog/salesItemDetails.do?id=103028</v>
      </c>
      <c r="B753" s="2" t="s">
        <v>2059</v>
      </c>
      <c r="C753" s="2" t="s">
        <v>2060</v>
      </c>
      <c r="D753" s="2" t="s">
        <v>2061</v>
      </c>
      <c r="E753" s="2" t="s">
        <v>2062</v>
      </c>
      <c r="F753" s="2" t="s">
        <v>16</v>
      </c>
      <c r="G753" s="2" t="s">
        <v>154</v>
      </c>
      <c r="H753" s="2"/>
      <c r="I753" s="2"/>
      <c r="J753" s="2" t="s">
        <v>19</v>
      </c>
      <c r="K753" s="2"/>
      <c r="L753" s="4" t="s">
        <v>2063</v>
      </c>
    </row>
    <row r="754" customFormat="false" ht="13.35" hidden="false" customHeight="true" outlineLevel="0" collapsed="false">
      <c r="A754" s="5" t="str">
        <f aca="false">HYPERLINK("https://www.fabsurplus.com/sdi_catalog/salesItemDetails.do?id=103029")</f>
        <v>https://www.fabsurplus.com/sdi_catalog/salesItemDetails.do?id=103029</v>
      </c>
      <c r="B754" s="5" t="s">
        <v>2064</v>
      </c>
      <c r="C754" s="5" t="s">
        <v>2060</v>
      </c>
      <c r="D754" s="5" t="s">
        <v>2065</v>
      </c>
      <c r="E754" s="5" t="s">
        <v>2066</v>
      </c>
      <c r="F754" s="5" t="s">
        <v>16</v>
      </c>
      <c r="G754" s="5" t="s">
        <v>138</v>
      </c>
      <c r="H754" s="5"/>
      <c r="I754" s="5"/>
      <c r="J754" s="5" t="s">
        <v>19</v>
      </c>
      <c r="K754" s="5"/>
      <c r="L754" s="5" t="s">
        <v>2067</v>
      </c>
    </row>
    <row r="755" customFormat="false" ht="13.35" hidden="false" customHeight="true" outlineLevel="0" collapsed="false">
      <c r="A755" s="2" t="str">
        <f aca="false">HYPERLINK("https://www.fabsurplus.com/sdi_catalog/salesItemDetails.do?id=102999")</f>
        <v>https://www.fabsurplus.com/sdi_catalog/salesItemDetails.do?id=102999</v>
      </c>
      <c r="B755" s="2" t="s">
        <v>2068</v>
      </c>
      <c r="C755" s="2" t="s">
        <v>2069</v>
      </c>
      <c r="D755" s="2" t="s">
        <v>2070</v>
      </c>
      <c r="E755" s="2" t="s">
        <v>2071</v>
      </c>
      <c r="F755" s="2" t="s">
        <v>16</v>
      </c>
      <c r="G755" s="2"/>
      <c r="H755" s="2"/>
      <c r="I755" s="2"/>
      <c r="J755" s="2" t="s">
        <v>19</v>
      </c>
      <c r="K755" s="2"/>
      <c r="L755" s="4" t="s">
        <v>2072</v>
      </c>
    </row>
    <row r="756" customFormat="false" ht="13.35" hidden="false" customHeight="true" outlineLevel="0" collapsed="false">
      <c r="A756" s="5" t="str">
        <f aca="false">HYPERLINK("https://www.fabsurplus.com/sdi_catalog/salesItemDetails.do?id=102172")</f>
        <v>https://www.fabsurplus.com/sdi_catalog/salesItemDetails.do?id=102172</v>
      </c>
      <c r="B756" s="5" t="s">
        <v>2073</v>
      </c>
      <c r="C756" s="5" t="s">
        <v>2074</v>
      </c>
      <c r="D756" s="5" t="s">
        <v>2075</v>
      </c>
      <c r="E756" s="5" t="s">
        <v>2076</v>
      </c>
      <c r="F756" s="5" t="s">
        <v>16</v>
      </c>
      <c r="G756" s="5" t="s">
        <v>36</v>
      </c>
      <c r="H756" s="5"/>
      <c r="I756" s="6" t="n">
        <v>35217</v>
      </c>
      <c r="J756" s="5" t="s">
        <v>19</v>
      </c>
      <c r="K756" s="5"/>
      <c r="L756" s="5"/>
    </row>
    <row r="757" customFormat="false" ht="13.35" hidden="false" customHeight="true" outlineLevel="0" collapsed="false">
      <c r="A757" s="2" t="str">
        <f aca="false">HYPERLINK("https://www.fabsurplus.com/sdi_catalog/salesItemDetails.do?id=102173")</f>
        <v>https://www.fabsurplus.com/sdi_catalog/salesItemDetails.do?id=102173</v>
      </c>
      <c r="B757" s="2" t="s">
        <v>2077</v>
      </c>
      <c r="C757" s="2" t="s">
        <v>2074</v>
      </c>
      <c r="D757" s="2" t="s">
        <v>2075</v>
      </c>
      <c r="E757" s="2" t="s">
        <v>2076</v>
      </c>
      <c r="F757" s="2" t="s">
        <v>16</v>
      </c>
      <c r="G757" s="2" t="s">
        <v>36</v>
      </c>
      <c r="H757" s="2"/>
      <c r="I757" s="3" t="n">
        <v>35582</v>
      </c>
      <c r="J757" s="2" t="s">
        <v>19</v>
      </c>
      <c r="K757" s="2"/>
      <c r="L757" s="2"/>
    </row>
    <row r="758" customFormat="false" ht="13.35" hidden="false" customHeight="true" outlineLevel="0" collapsed="false">
      <c r="A758" s="2" t="str">
        <f aca="false">HYPERLINK("https://www.fabsurplus.com/sdi_catalog/salesItemDetails.do?id=98215")</f>
        <v>https://www.fabsurplus.com/sdi_catalog/salesItemDetails.do?id=98215</v>
      </c>
      <c r="B758" s="2" t="s">
        <v>2078</v>
      </c>
      <c r="C758" s="2" t="s">
        <v>2074</v>
      </c>
      <c r="D758" s="2" t="s">
        <v>2079</v>
      </c>
      <c r="E758" s="2" t="s">
        <v>2080</v>
      </c>
      <c r="F758" s="2" t="s">
        <v>16</v>
      </c>
      <c r="G758" s="2" t="s">
        <v>2027</v>
      </c>
      <c r="H758" s="2" t="s">
        <v>26</v>
      </c>
      <c r="I758" s="3" t="n">
        <v>40695</v>
      </c>
      <c r="J758" s="2" t="s">
        <v>19</v>
      </c>
      <c r="K758" s="2" t="s">
        <v>20</v>
      </c>
      <c r="L758" s="4" t="s">
        <v>2081</v>
      </c>
    </row>
    <row r="759" customFormat="false" ht="13.35" hidden="false" customHeight="true" outlineLevel="0" collapsed="false">
      <c r="A759" s="5" t="str">
        <f aca="false">HYPERLINK("https://www.fabsurplus.com/sdi_catalog/salesItemDetails.do?id=102467")</f>
        <v>https://www.fabsurplus.com/sdi_catalog/salesItemDetails.do?id=102467</v>
      </c>
      <c r="B759" s="5" t="s">
        <v>2082</v>
      </c>
      <c r="C759" s="5" t="s">
        <v>2083</v>
      </c>
      <c r="D759" s="5" t="s">
        <v>2084</v>
      </c>
      <c r="E759" s="5" t="s">
        <v>2085</v>
      </c>
      <c r="F759" s="5" t="s">
        <v>16</v>
      </c>
      <c r="G759" s="5"/>
      <c r="H759" s="5" t="s">
        <v>26</v>
      </c>
      <c r="I759" s="6" t="n">
        <v>38777</v>
      </c>
      <c r="J759" s="5" t="s">
        <v>19</v>
      </c>
      <c r="K759" s="5" t="s">
        <v>20</v>
      </c>
      <c r="L759" s="7" t="s">
        <v>2086</v>
      </c>
    </row>
    <row r="760" customFormat="false" ht="13.35" hidden="false" customHeight="true" outlineLevel="0" collapsed="false">
      <c r="A760" s="2" t="str">
        <f aca="false">HYPERLINK("https://www.fabsurplus.com/sdi_catalog/salesItemDetails.do?id=99410")</f>
        <v>https://www.fabsurplus.com/sdi_catalog/salesItemDetails.do?id=99410</v>
      </c>
      <c r="B760" s="2" t="s">
        <v>2087</v>
      </c>
      <c r="C760" s="2" t="s">
        <v>2088</v>
      </c>
      <c r="D760" s="2" t="s">
        <v>2089</v>
      </c>
      <c r="E760" s="2" t="s">
        <v>2090</v>
      </c>
      <c r="F760" s="2" t="s">
        <v>16</v>
      </c>
      <c r="G760" s="2" t="s">
        <v>160</v>
      </c>
      <c r="H760" s="2" t="s">
        <v>18</v>
      </c>
      <c r="I760" s="3" t="n">
        <v>34851</v>
      </c>
      <c r="J760" s="2" t="s">
        <v>19</v>
      </c>
      <c r="K760" s="2" t="s">
        <v>20</v>
      </c>
      <c r="L760" s="4" t="s">
        <v>2091</v>
      </c>
    </row>
    <row r="761" customFormat="false" ht="13.35" hidden="false" customHeight="true" outlineLevel="0" collapsed="false">
      <c r="A761" s="5" t="str">
        <f aca="false">HYPERLINK("https://www.fabsurplus.com/sdi_catalog/salesItemDetails.do?id=102487")</f>
        <v>https://www.fabsurplus.com/sdi_catalog/salesItemDetails.do?id=102487</v>
      </c>
      <c r="B761" s="5" t="s">
        <v>2092</v>
      </c>
      <c r="C761" s="5" t="s">
        <v>2093</v>
      </c>
      <c r="D761" s="5" t="s">
        <v>2094</v>
      </c>
      <c r="E761" s="5" t="s">
        <v>2095</v>
      </c>
      <c r="F761" s="5" t="s">
        <v>16</v>
      </c>
      <c r="G761" s="5"/>
      <c r="H761" s="5" t="s">
        <v>26</v>
      </c>
      <c r="I761" s="5"/>
      <c r="J761" s="5" t="s">
        <v>19</v>
      </c>
      <c r="K761" s="5" t="s">
        <v>20</v>
      </c>
      <c r="L761" s="5" t="s">
        <v>2096</v>
      </c>
    </row>
    <row r="762" customFormat="false" ht="13.35" hidden="false" customHeight="true" outlineLevel="0" collapsed="false">
      <c r="A762" s="5" t="str">
        <f aca="false">HYPERLINK("https://www.fabsurplus.com/sdi_catalog/salesItemDetails.do?id=99411")</f>
        <v>https://www.fabsurplus.com/sdi_catalog/salesItemDetails.do?id=99411</v>
      </c>
      <c r="B762" s="5" t="s">
        <v>2097</v>
      </c>
      <c r="C762" s="5" t="s">
        <v>2088</v>
      </c>
      <c r="D762" s="5" t="s">
        <v>2098</v>
      </c>
      <c r="E762" s="5" t="s">
        <v>2099</v>
      </c>
      <c r="F762" s="5" t="s">
        <v>16</v>
      </c>
      <c r="G762" s="5" t="s">
        <v>160</v>
      </c>
      <c r="H762" s="5" t="s">
        <v>18</v>
      </c>
      <c r="I762" s="6" t="n">
        <v>33025</v>
      </c>
      <c r="J762" s="5" t="s">
        <v>19</v>
      </c>
      <c r="K762" s="5" t="s">
        <v>20</v>
      </c>
      <c r="L762" s="7" t="s">
        <v>2100</v>
      </c>
    </row>
    <row r="763" customFormat="false" ht="13.35" hidden="false" customHeight="true" outlineLevel="0" collapsed="false">
      <c r="A763" s="2" t="str">
        <f aca="false">HYPERLINK("https://www.fabsurplus.com/sdi_catalog/salesItemDetails.do?id=99412")</f>
        <v>https://www.fabsurplus.com/sdi_catalog/salesItemDetails.do?id=99412</v>
      </c>
      <c r="B763" s="2" t="s">
        <v>2101</v>
      </c>
      <c r="C763" s="2" t="s">
        <v>2088</v>
      </c>
      <c r="D763" s="2" t="s">
        <v>2102</v>
      </c>
      <c r="E763" s="2" t="s">
        <v>2103</v>
      </c>
      <c r="F763" s="2" t="s">
        <v>16</v>
      </c>
      <c r="G763" s="2" t="s">
        <v>160</v>
      </c>
      <c r="H763" s="2" t="s">
        <v>18</v>
      </c>
      <c r="I763" s="3" t="n">
        <v>34851</v>
      </c>
      <c r="J763" s="2" t="s">
        <v>19</v>
      </c>
      <c r="K763" s="2" t="s">
        <v>20</v>
      </c>
      <c r="L763" s="4" t="s">
        <v>2104</v>
      </c>
    </row>
    <row r="764" customFormat="false" ht="13.35" hidden="false" customHeight="true" outlineLevel="0" collapsed="false">
      <c r="A764" s="2" t="str">
        <f aca="false">HYPERLINK("https://www.fabsurplus.com/sdi_catalog/salesItemDetails.do?id=101695")</f>
        <v>https://www.fabsurplus.com/sdi_catalog/salesItemDetails.do?id=101695</v>
      </c>
      <c r="B764" s="2" t="s">
        <v>2105</v>
      </c>
      <c r="C764" s="2" t="s">
        <v>2093</v>
      </c>
      <c r="D764" s="2" t="s">
        <v>2106</v>
      </c>
      <c r="E764" s="2" t="s">
        <v>2107</v>
      </c>
      <c r="F764" s="2" t="s">
        <v>16</v>
      </c>
      <c r="G764" s="2"/>
      <c r="H764" s="2" t="s">
        <v>26</v>
      </c>
      <c r="I764" s="2"/>
      <c r="J764" s="2" t="s">
        <v>47</v>
      </c>
      <c r="K764" s="2" t="s">
        <v>20</v>
      </c>
      <c r="L764" s="4" t="s">
        <v>2108</v>
      </c>
    </row>
    <row r="765" customFormat="false" ht="13.35" hidden="false" customHeight="true" outlineLevel="0" collapsed="false">
      <c r="A765" s="5" t="str">
        <f aca="false">HYPERLINK("https://www.fabsurplus.com/sdi_catalog/salesItemDetails.do?id=87489")</f>
        <v>https://www.fabsurplus.com/sdi_catalog/salesItemDetails.do?id=87489</v>
      </c>
      <c r="B765" s="5" t="s">
        <v>2109</v>
      </c>
      <c r="C765" s="5" t="s">
        <v>2110</v>
      </c>
      <c r="D765" s="5" t="s">
        <v>2089</v>
      </c>
      <c r="E765" s="5" t="s">
        <v>2111</v>
      </c>
      <c r="F765" s="5" t="s">
        <v>16</v>
      </c>
      <c r="G765" s="5" t="s">
        <v>160</v>
      </c>
      <c r="H765" s="5" t="s">
        <v>18</v>
      </c>
      <c r="I765" s="5"/>
      <c r="J765" s="5" t="s">
        <v>19</v>
      </c>
      <c r="K765" s="5" t="s">
        <v>20</v>
      </c>
      <c r="L765" s="5"/>
    </row>
    <row r="766" customFormat="false" ht="13.35" hidden="false" customHeight="true" outlineLevel="0" collapsed="false">
      <c r="A766" s="2" t="str">
        <f aca="false">HYPERLINK("https://www.fabsurplus.com/sdi_catalog/salesItemDetails.do?id=87488")</f>
        <v>https://www.fabsurplus.com/sdi_catalog/salesItemDetails.do?id=87488</v>
      </c>
      <c r="B766" s="2" t="s">
        <v>2112</v>
      </c>
      <c r="C766" s="2" t="s">
        <v>2110</v>
      </c>
      <c r="D766" s="2" t="s">
        <v>2113</v>
      </c>
      <c r="E766" s="2" t="s">
        <v>2114</v>
      </c>
      <c r="F766" s="2" t="s">
        <v>16</v>
      </c>
      <c r="G766" s="2" t="s">
        <v>160</v>
      </c>
      <c r="H766" s="2" t="s">
        <v>18</v>
      </c>
      <c r="I766" s="3" t="n">
        <v>35217</v>
      </c>
      <c r="J766" s="2" t="s">
        <v>19</v>
      </c>
      <c r="K766" s="2" t="s">
        <v>20</v>
      </c>
      <c r="L766" s="4" t="s">
        <v>2115</v>
      </c>
    </row>
    <row r="767" customFormat="false" ht="13.35" hidden="false" customHeight="true" outlineLevel="0" collapsed="false">
      <c r="A767" s="2" t="str">
        <f aca="false">HYPERLINK("https://www.fabsurplus.com/sdi_catalog/salesItemDetails.do?id=91827")</f>
        <v>https://www.fabsurplus.com/sdi_catalog/salesItemDetails.do?id=91827</v>
      </c>
      <c r="B767" s="2" t="s">
        <v>2116</v>
      </c>
      <c r="C767" s="2" t="s">
        <v>2110</v>
      </c>
      <c r="D767" s="2" t="s">
        <v>2117</v>
      </c>
      <c r="E767" s="2" t="s">
        <v>2118</v>
      </c>
      <c r="F767" s="2" t="s">
        <v>16</v>
      </c>
      <c r="G767" s="2" t="s">
        <v>499</v>
      </c>
      <c r="H767" s="2" t="s">
        <v>96</v>
      </c>
      <c r="I767" s="2"/>
      <c r="J767" s="2" t="s">
        <v>19</v>
      </c>
      <c r="K767" s="2" t="s">
        <v>404</v>
      </c>
      <c r="L767" s="4" t="s">
        <v>2119</v>
      </c>
    </row>
    <row r="768" customFormat="false" ht="13.35" hidden="false" customHeight="true" outlineLevel="0" collapsed="false">
      <c r="A768" s="5" t="str">
        <f aca="false">HYPERLINK("https://www.fabsurplus.com/sdi_catalog/salesItemDetails.do?id=91828")</f>
        <v>https://www.fabsurplus.com/sdi_catalog/salesItemDetails.do?id=91828</v>
      </c>
      <c r="B768" s="5" t="s">
        <v>2120</v>
      </c>
      <c r="C768" s="5" t="s">
        <v>2110</v>
      </c>
      <c r="D768" s="5" t="s">
        <v>2121</v>
      </c>
      <c r="E768" s="5" t="s">
        <v>2122</v>
      </c>
      <c r="F768" s="5" t="s">
        <v>16</v>
      </c>
      <c r="G768" s="5" t="s">
        <v>499</v>
      </c>
      <c r="H768" s="5" t="s">
        <v>18</v>
      </c>
      <c r="I768" s="6" t="n">
        <v>34486</v>
      </c>
      <c r="J768" s="5" t="s">
        <v>19</v>
      </c>
      <c r="K768" s="5" t="s">
        <v>20</v>
      </c>
      <c r="L768" s="7" t="s">
        <v>2123</v>
      </c>
    </row>
    <row r="769" customFormat="false" ht="13.35" hidden="false" customHeight="true" outlineLevel="0" collapsed="false">
      <c r="A769" s="5" t="str">
        <f aca="false">HYPERLINK("https://www.fabsurplus.com/sdi_catalog/salesItemDetails.do?id=88001")</f>
        <v>https://www.fabsurplus.com/sdi_catalog/salesItemDetails.do?id=88001</v>
      </c>
      <c r="B769" s="5" t="s">
        <v>2124</v>
      </c>
      <c r="C769" s="5" t="s">
        <v>2125</v>
      </c>
      <c r="D769" s="5" t="s">
        <v>2126</v>
      </c>
      <c r="E769" s="5" t="s">
        <v>87</v>
      </c>
      <c r="F769" s="5" t="s">
        <v>46</v>
      </c>
      <c r="G769" s="5" t="s">
        <v>88</v>
      </c>
      <c r="H769" s="5"/>
      <c r="I769" s="5"/>
      <c r="J769" s="5" t="s">
        <v>19</v>
      </c>
      <c r="K769" s="5"/>
      <c r="L769" s="5" t="s">
        <v>89</v>
      </c>
    </row>
    <row r="770" customFormat="false" ht="13.35" hidden="false" customHeight="true" outlineLevel="0" collapsed="false">
      <c r="A770" s="2" t="str">
        <f aca="false">HYPERLINK("https://www.fabsurplus.com/sdi_catalog/salesItemDetails.do?id=88002")</f>
        <v>https://www.fabsurplus.com/sdi_catalog/salesItemDetails.do?id=88002</v>
      </c>
      <c r="B770" s="2" t="s">
        <v>2127</v>
      </c>
      <c r="C770" s="2" t="s">
        <v>2125</v>
      </c>
      <c r="D770" s="2" t="s">
        <v>2128</v>
      </c>
      <c r="E770" s="2" t="s">
        <v>87</v>
      </c>
      <c r="F770" s="2" t="s">
        <v>16</v>
      </c>
      <c r="G770" s="2" t="s">
        <v>88</v>
      </c>
      <c r="H770" s="2"/>
      <c r="I770" s="2"/>
      <c r="J770" s="2" t="s">
        <v>19</v>
      </c>
      <c r="K770" s="2"/>
      <c r="L770" s="2" t="s">
        <v>89</v>
      </c>
    </row>
    <row r="771" customFormat="false" ht="13.35" hidden="false" customHeight="true" outlineLevel="0" collapsed="false">
      <c r="A771" s="5" t="str">
        <f aca="false">HYPERLINK("https://www.fabsurplus.com/sdi_catalog/salesItemDetails.do?id=88003")</f>
        <v>https://www.fabsurplus.com/sdi_catalog/salesItemDetails.do?id=88003</v>
      </c>
      <c r="B771" s="5" t="s">
        <v>2129</v>
      </c>
      <c r="C771" s="5" t="s">
        <v>2125</v>
      </c>
      <c r="D771" s="5" t="s">
        <v>2130</v>
      </c>
      <c r="E771" s="5" t="s">
        <v>87</v>
      </c>
      <c r="F771" s="5" t="s">
        <v>125</v>
      </c>
      <c r="G771" s="5" t="s">
        <v>88</v>
      </c>
      <c r="H771" s="5"/>
      <c r="I771" s="5"/>
      <c r="J771" s="5" t="s">
        <v>19</v>
      </c>
      <c r="K771" s="5"/>
      <c r="L771" s="5" t="s">
        <v>89</v>
      </c>
    </row>
    <row r="772" customFormat="false" ht="13.35" hidden="false" customHeight="true" outlineLevel="0" collapsed="false">
      <c r="A772" s="2" t="str">
        <f aca="false">HYPERLINK("https://www.fabsurplus.com/sdi_catalog/salesItemDetails.do?id=88004")</f>
        <v>https://www.fabsurplus.com/sdi_catalog/salesItemDetails.do?id=88004</v>
      </c>
      <c r="B772" s="2" t="s">
        <v>2131</v>
      </c>
      <c r="C772" s="2" t="s">
        <v>2125</v>
      </c>
      <c r="D772" s="2" t="s">
        <v>2132</v>
      </c>
      <c r="E772" s="2" t="s">
        <v>87</v>
      </c>
      <c r="F772" s="2" t="s">
        <v>58</v>
      </c>
      <c r="G772" s="2" t="s">
        <v>88</v>
      </c>
      <c r="H772" s="2"/>
      <c r="I772" s="2"/>
      <c r="J772" s="2" t="s">
        <v>19</v>
      </c>
      <c r="K772" s="2"/>
      <c r="L772" s="2" t="s">
        <v>89</v>
      </c>
    </row>
    <row r="773" customFormat="false" ht="13.35" hidden="false" customHeight="true" outlineLevel="0" collapsed="false">
      <c r="A773" s="5" t="str">
        <f aca="false">HYPERLINK("https://www.fabsurplus.com/sdi_catalog/salesItemDetails.do?id=88005")</f>
        <v>https://www.fabsurplus.com/sdi_catalog/salesItemDetails.do?id=88005</v>
      </c>
      <c r="B773" s="5" t="s">
        <v>2133</v>
      </c>
      <c r="C773" s="5" t="s">
        <v>2125</v>
      </c>
      <c r="D773" s="5" t="s">
        <v>2134</v>
      </c>
      <c r="E773" s="5" t="s">
        <v>87</v>
      </c>
      <c r="F773" s="5" t="s">
        <v>176</v>
      </c>
      <c r="G773" s="5" t="s">
        <v>88</v>
      </c>
      <c r="H773" s="5"/>
      <c r="I773" s="5"/>
      <c r="J773" s="5" t="s">
        <v>19</v>
      </c>
      <c r="K773" s="5"/>
      <c r="L773" s="5" t="s">
        <v>89</v>
      </c>
    </row>
    <row r="774" customFormat="false" ht="13.35" hidden="false" customHeight="true" outlineLevel="0" collapsed="false">
      <c r="A774" s="2" t="str">
        <f aca="false">HYPERLINK("https://www.fabsurplus.com/sdi_catalog/salesItemDetails.do?id=88006")</f>
        <v>https://www.fabsurplus.com/sdi_catalog/salesItemDetails.do?id=88006</v>
      </c>
      <c r="B774" s="2" t="s">
        <v>2135</v>
      </c>
      <c r="C774" s="2" t="s">
        <v>2125</v>
      </c>
      <c r="D774" s="2" t="s">
        <v>2134</v>
      </c>
      <c r="E774" s="2" t="s">
        <v>87</v>
      </c>
      <c r="F774" s="2" t="s">
        <v>16</v>
      </c>
      <c r="G774" s="2" t="s">
        <v>88</v>
      </c>
      <c r="H774" s="2"/>
      <c r="I774" s="2"/>
      <c r="J774" s="2" t="s">
        <v>19</v>
      </c>
      <c r="K774" s="2"/>
      <c r="L774" s="2" t="s">
        <v>89</v>
      </c>
    </row>
    <row r="775" customFormat="false" ht="13.35" hidden="false" customHeight="true" outlineLevel="0" collapsed="false">
      <c r="A775" s="5" t="str">
        <f aca="false">HYPERLINK("https://www.fabsurplus.com/sdi_catalog/salesItemDetails.do?id=88007")</f>
        <v>https://www.fabsurplus.com/sdi_catalog/salesItemDetails.do?id=88007</v>
      </c>
      <c r="B775" s="5" t="s">
        <v>2136</v>
      </c>
      <c r="C775" s="5" t="s">
        <v>2125</v>
      </c>
      <c r="D775" s="5" t="s">
        <v>2137</v>
      </c>
      <c r="E775" s="5" t="s">
        <v>87</v>
      </c>
      <c r="F775" s="5" t="s">
        <v>16</v>
      </c>
      <c r="G775" s="5" t="s">
        <v>88</v>
      </c>
      <c r="H775" s="5"/>
      <c r="I775" s="5"/>
      <c r="J775" s="5" t="s">
        <v>19</v>
      </c>
      <c r="K775" s="5"/>
      <c r="L775" s="5" t="s">
        <v>89</v>
      </c>
    </row>
    <row r="776" customFormat="false" ht="13.35" hidden="false" customHeight="true" outlineLevel="0" collapsed="false">
      <c r="A776" s="2" t="str">
        <f aca="false">HYPERLINK("https://www.fabsurplus.com/sdi_catalog/salesItemDetails.do?id=88008")</f>
        <v>https://www.fabsurplus.com/sdi_catalog/salesItemDetails.do?id=88008</v>
      </c>
      <c r="B776" s="2" t="s">
        <v>2138</v>
      </c>
      <c r="C776" s="2" t="s">
        <v>2125</v>
      </c>
      <c r="D776" s="2" t="s">
        <v>2139</v>
      </c>
      <c r="E776" s="2" t="s">
        <v>87</v>
      </c>
      <c r="F776" s="2" t="s">
        <v>125</v>
      </c>
      <c r="G776" s="2" t="s">
        <v>88</v>
      </c>
      <c r="H776" s="2"/>
      <c r="I776" s="2"/>
      <c r="J776" s="2" t="s">
        <v>19</v>
      </c>
      <c r="K776" s="2"/>
      <c r="L776" s="2" t="s">
        <v>89</v>
      </c>
    </row>
    <row r="777" customFormat="false" ht="13.35" hidden="false" customHeight="true" outlineLevel="0" collapsed="false">
      <c r="A777" s="5" t="str">
        <f aca="false">HYPERLINK("https://www.fabsurplus.com/sdi_catalog/salesItemDetails.do?id=88009")</f>
        <v>https://www.fabsurplus.com/sdi_catalog/salesItemDetails.do?id=88009</v>
      </c>
      <c r="B777" s="5" t="s">
        <v>2140</v>
      </c>
      <c r="C777" s="5" t="s">
        <v>2125</v>
      </c>
      <c r="D777" s="5" t="s">
        <v>2141</v>
      </c>
      <c r="E777" s="5" t="s">
        <v>87</v>
      </c>
      <c r="F777" s="5" t="s">
        <v>16</v>
      </c>
      <c r="G777" s="5" t="s">
        <v>88</v>
      </c>
      <c r="H777" s="5"/>
      <c r="I777" s="5"/>
      <c r="J777" s="5" t="s">
        <v>19</v>
      </c>
      <c r="K777" s="5"/>
      <c r="L777" s="5" t="s">
        <v>89</v>
      </c>
    </row>
    <row r="778" customFormat="false" ht="13.35" hidden="false" customHeight="true" outlineLevel="0" collapsed="false">
      <c r="A778" s="2" t="str">
        <f aca="false">HYPERLINK("https://www.fabsurplus.com/sdi_catalog/salesItemDetails.do?id=101643")</f>
        <v>https://www.fabsurplus.com/sdi_catalog/salesItemDetails.do?id=101643</v>
      </c>
      <c r="B778" s="2" t="s">
        <v>2142</v>
      </c>
      <c r="C778" s="2" t="s">
        <v>2143</v>
      </c>
      <c r="D778" s="2" t="s">
        <v>2144</v>
      </c>
      <c r="E778" s="2" t="s">
        <v>2145</v>
      </c>
      <c r="F778" s="2" t="s">
        <v>16</v>
      </c>
      <c r="G778" s="2" t="s">
        <v>154</v>
      </c>
      <c r="H778" s="2"/>
      <c r="I778" s="2"/>
      <c r="J778" s="2" t="s">
        <v>19</v>
      </c>
      <c r="K778" s="2"/>
      <c r="L778" s="2"/>
    </row>
    <row r="779" customFormat="false" ht="13.35" hidden="false" customHeight="true" outlineLevel="0" collapsed="false">
      <c r="A779" s="2" t="str">
        <f aca="false">HYPERLINK("https://www.fabsurplus.com/sdi_catalog/salesItemDetails.do?id=88010")</f>
        <v>https://www.fabsurplus.com/sdi_catalog/salesItemDetails.do?id=88010</v>
      </c>
      <c r="B779" s="2" t="s">
        <v>2146</v>
      </c>
      <c r="C779" s="2" t="s">
        <v>2125</v>
      </c>
      <c r="D779" s="2" t="s">
        <v>2147</v>
      </c>
      <c r="E779" s="2" t="s">
        <v>87</v>
      </c>
      <c r="F779" s="2" t="s">
        <v>609</v>
      </c>
      <c r="G779" s="2" t="s">
        <v>88</v>
      </c>
      <c r="H779" s="2"/>
      <c r="I779" s="2"/>
      <c r="J779" s="2" t="s">
        <v>19</v>
      </c>
      <c r="K779" s="2"/>
      <c r="L779" s="2" t="s">
        <v>89</v>
      </c>
    </row>
    <row r="780" customFormat="false" ht="13.35" hidden="false" customHeight="true" outlineLevel="0" collapsed="false">
      <c r="A780" s="5" t="str">
        <f aca="false">HYPERLINK("https://www.fabsurplus.com/sdi_catalog/salesItemDetails.do?id=88011")</f>
        <v>https://www.fabsurplus.com/sdi_catalog/salesItemDetails.do?id=88011</v>
      </c>
      <c r="B780" s="5" t="s">
        <v>2148</v>
      </c>
      <c r="C780" s="5" t="s">
        <v>2125</v>
      </c>
      <c r="D780" s="5" t="s">
        <v>2149</v>
      </c>
      <c r="E780" s="5" t="s">
        <v>87</v>
      </c>
      <c r="F780" s="5" t="s">
        <v>46</v>
      </c>
      <c r="G780" s="5" t="s">
        <v>88</v>
      </c>
      <c r="H780" s="5"/>
      <c r="I780" s="5"/>
      <c r="J780" s="5" t="s">
        <v>19</v>
      </c>
      <c r="K780" s="5"/>
      <c r="L780" s="5" t="s">
        <v>89</v>
      </c>
    </row>
    <row r="781" customFormat="false" ht="13.35" hidden="false" customHeight="true" outlineLevel="0" collapsed="false">
      <c r="A781" s="2" t="str">
        <f aca="false">HYPERLINK("https://www.fabsurplus.com/sdi_catalog/salesItemDetails.do?id=88012")</f>
        <v>https://www.fabsurplus.com/sdi_catalog/salesItemDetails.do?id=88012</v>
      </c>
      <c r="B781" s="2" t="s">
        <v>2150</v>
      </c>
      <c r="C781" s="2" t="s">
        <v>2125</v>
      </c>
      <c r="D781" s="2" t="s">
        <v>2151</v>
      </c>
      <c r="E781" s="2" t="s">
        <v>87</v>
      </c>
      <c r="F781" s="2" t="s">
        <v>2152</v>
      </c>
      <c r="G781" s="2" t="s">
        <v>88</v>
      </c>
      <c r="H781" s="2"/>
      <c r="I781" s="2"/>
      <c r="J781" s="2" t="s">
        <v>19</v>
      </c>
      <c r="K781" s="2"/>
      <c r="L781" s="2" t="s">
        <v>89</v>
      </c>
    </row>
    <row r="782" customFormat="false" ht="13.35" hidden="false" customHeight="true" outlineLevel="0" collapsed="false">
      <c r="A782" s="5" t="str">
        <f aca="false">HYPERLINK("https://www.fabsurplus.com/sdi_catalog/salesItemDetails.do?id=88013")</f>
        <v>https://www.fabsurplus.com/sdi_catalog/salesItemDetails.do?id=88013</v>
      </c>
      <c r="B782" s="5" t="s">
        <v>2153</v>
      </c>
      <c r="C782" s="5" t="s">
        <v>2125</v>
      </c>
      <c r="D782" s="5" t="s">
        <v>2154</v>
      </c>
      <c r="E782" s="5" t="s">
        <v>87</v>
      </c>
      <c r="F782" s="5" t="s">
        <v>16</v>
      </c>
      <c r="G782" s="5" t="s">
        <v>88</v>
      </c>
      <c r="H782" s="5"/>
      <c r="I782" s="5"/>
      <c r="J782" s="5" t="s">
        <v>19</v>
      </c>
      <c r="K782" s="5"/>
      <c r="L782" s="5" t="s">
        <v>89</v>
      </c>
    </row>
    <row r="783" customFormat="false" ht="13.35" hidden="false" customHeight="true" outlineLevel="0" collapsed="false">
      <c r="A783" s="2" t="str">
        <f aca="false">HYPERLINK("https://www.fabsurplus.com/sdi_catalog/salesItemDetails.do?id=88014")</f>
        <v>https://www.fabsurplus.com/sdi_catalog/salesItemDetails.do?id=88014</v>
      </c>
      <c r="B783" s="2" t="s">
        <v>2155</v>
      </c>
      <c r="C783" s="2" t="s">
        <v>2125</v>
      </c>
      <c r="D783" s="2" t="s">
        <v>2156</v>
      </c>
      <c r="E783" s="2" t="s">
        <v>87</v>
      </c>
      <c r="F783" s="2" t="s">
        <v>366</v>
      </c>
      <c r="G783" s="2" t="s">
        <v>88</v>
      </c>
      <c r="H783" s="2"/>
      <c r="I783" s="2"/>
      <c r="J783" s="2" t="s">
        <v>19</v>
      </c>
      <c r="K783" s="2"/>
      <c r="L783" s="2" t="s">
        <v>89</v>
      </c>
    </row>
    <row r="784" customFormat="false" ht="13.35" hidden="false" customHeight="true" outlineLevel="0" collapsed="false">
      <c r="A784" s="5" t="str">
        <f aca="false">HYPERLINK("https://www.fabsurplus.com/sdi_catalog/salesItemDetails.do?id=88015")</f>
        <v>https://www.fabsurplus.com/sdi_catalog/salesItemDetails.do?id=88015</v>
      </c>
      <c r="B784" s="5" t="s">
        <v>2157</v>
      </c>
      <c r="C784" s="5" t="s">
        <v>2125</v>
      </c>
      <c r="D784" s="5" t="s">
        <v>2158</v>
      </c>
      <c r="E784" s="5" t="s">
        <v>87</v>
      </c>
      <c r="F784" s="5" t="s">
        <v>16</v>
      </c>
      <c r="G784" s="5" t="s">
        <v>88</v>
      </c>
      <c r="H784" s="5"/>
      <c r="I784" s="5"/>
      <c r="J784" s="5" t="s">
        <v>19</v>
      </c>
      <c r="K784" s="5"/>
      <c r="L784" s="5" t="s">
        <v>89</v>
      </c>
    </row>
    <row r="785" customFormat="false" ht="13.35" hidden="false" customHeight="true" outlineLevel="0" collapsed="false">
      <c r="A785" s="2" t="str">
        <f aca="false">HYPERLINK("https://www.fabsurplus.com/sdi_catalog/salesItemDetails.do?id=88016")</f>
        <v>https://www.fabsurplus.com/sdi_catalog/salesItemDetails.do?id=88016</v>
      </c>
      <c r="B785" s="2" t="s">
        <v>2159</v>
      </c>
      <c r="C785" s="2" t="s">
        <v>2125</v>
      </c>
      <c r="D785" s="2" t="s">
        <v>2160</v>
      </c>
      <c r="E785" s="2" t="s">
        <v>87</v>
      </c>
      <c r="F785" s="2" t="s">
        <v>125</v>
      </c>
      <c r="G785" s="2" t="s">
        <v>88</v>
      </c>
      <c r="H785" s="2"/>
      <c r="I785" s="2"/>
      <c r="J785" s="2" t="s">
        <v>19</v>
      </c>
      <c r="K785" s="2"/>
      <c r="L785" s="2" t="s">
        <v>89</v>
      </c>
    </row>
    <row r="786" customFormat="false" ht="13.35" hidden="false" customHeight="true" outlineLevel="0" collapsed="false">
      <c r="A786" s="5" t="str">
        <f aca="false">HYPERLINK("https://www.fabsurplus.com/sdi_catalog/salesItemDetails.do?id=88017")</f>
        <v>https://www.fabsurplus.com/sdi_catalog/salesItemDetails.do?id=88017</v>
      </c>
      <c r="B786" s="5" t="s">
        <v>2161</v>
      </c>
      <c r="C786" s="5" t="s">
        <v>2125</v>
      </c>
      <c r="D786" s="5" t="s">
        <v>2162</v>
      </c>
      <c r="E786" s="5" t="s">
        <v>87</v>
      </c>
      <c r="F786" s="5" t="s">
        <v>58</v>
      </c>
      <c r="G786" s="5" t="s">
        <v>88</v>
      </c>
      <c r="H786" s="5"/>
      <c r="I786" s="5"/>
      <c r="J786" s="5" t="s">
        <v>19</v>
      </c>
      <c r="K786" s="5"/>
      <c r="L786" s="5" t="s">
        <v>89</v>
      </c>
    </row>
    <row r="787" customFormat="false" ht="13.35" hidden="false" customHeight="true" outlineLevel="0" collapsed="false">
      <c r="A787" s="2" t="str">
        <f aca="false">HYPERLINK("https://www.fabsurplus.com/sdi_catalog/salesItemDetails.do?id=88018")</f>
        <v>https://www.fabsurplus.com/sdi_catalog/salesItemDetails.do?id=88018</v>
      </c>
      <c r="B787" s="2" t="s">
        <v>2163</v>
      </c>
      <c r="C787" s="2" t="s">
        <v>2125</v>
      </c>
      <c r="D787" s="2" t="s">
        <v>2164</v>
      </c>
      <c r="E787" s="2" t="s">
        <v>87</v>
      </c>
      <c r="F787" s="2" t="s">
        <v>58</v>
      </c>
      <c r="G787" s="2" t="s">
        <v>88</v>
      </c>
      <c r="H787" s="2"/>
      <c r="I787" s="2"/>
      <c r="J787" s="2" t="s">
        <v>19</v>
      </c>
      <c r="K787" s="2"/>
      <c r="L787" s="2" t="s">
        <v>89</v>
      </c>
    </row>
    <row r="788" customFormat="false" ht="13.35" hidden="false" customHeight="true" outlineLevel="0" collapsed="false">
      <c r="A788" s="5" t="str">
        <f aca="false">HYPERLINK("https://www.fabsurplus.com/sdi_catalog/salesItemDetails.do?id=88019")</f>
        <v>https://www.fabsurplus.com/sdi_catalog/salesItemDetails.do?id=88019</v>
      </c>
      <c r="B788" s="5" t="s">
        <v>2165</v>
      </c>
      <c r="C788" s="5" t="s">
        <v>2125</v>
      </c>
      <c r="D788" s="5" t="s">
        <v>2166</v>
      </c>
      <c r="E788" s="5" t="s">
        <v>87</v>
      </c>
      <c r="F788" s="5" t="s">
        <v>125</v>
      </c>
      <c r="G788" s="5" t="s">
        <v>88</v>
      </c>
      <c r="H788" s="5"/>
      <c r="I788" s="5"/>
      <c r="J788" s="5" t="s">
        <v>19</v>
      </c>
      <c r="K788" s="5"/>
      <c r="L788" s="5" t="s">
        <v>89</v>
      </c>
    </row>
    <row r="789" customFormat="false" ht="13.35" hidden="false" customHeight="true" outlineLevel="0" collapsed="false">
      <c r="A789" s="5" t="str">
        <f aca="false">HYPERLINK("https://www.fabsurplus.com/sdi_catalog/salesItemDetails.do?id=101644")</f>
        <v>https://www.fabsurplus.com/sdi_catalog/salesItemDetails.do?id=101644</v>
      </c>
      <c r="B789" s="5" t="s">
        <v>2167</v>
      </c>
      <c r="C789" s="5" t="s">
        <v>2143</v>
      </c>
      <c r="D789" s="5" t="s">
        <v>2168</v>
      </c>
      <c r="E789" s="5" t="s">
        <v>2169</v>
      </c>
      <c r="F789" s="5" t="s">
        <v>16</v>
      </c>
      <c r="G789" s="5" t="s">
        <v>154</v>
      </c>
      <c r="H789" s="5"/>
      <c r="I789" s="5"/>
      <c r="J789" s="5" t="s">
        <v>19</v>
      </c>
      <c r="K789" s="5"/>
      <c r="L789" s="5"/>
    </row>
    <row r="790" customFormat="false" ht="13.35" hidden="false" customHeight="true" outlineLevel="0" collapsed="false">
      <c r="A790" s="2" t="str">
        <f aca="false">HYPERLINK("https://www.fabsurplus.com/sdi_catalog/salesItemDetails.do?id=88020")</f>
        <v>https://www.fabsurplus.com/sdi_catalog/salesItemDetails.do?id=88020</v>
      </c>
      <c r="B790" s="2" t="s">
        <v>2170</v>
      </c>
      <c r="C790" s="2" t="s">
        <v>2125</v>
      </c>
      <c r="D790" s="2" t="s">
        <v>2171</v>
      </c>
      <c r="E790" s="2" t="s">
        <v>87</v>
      </c>
      <c r="F790" s="2" t="s">
        <v>344</v>
      </c>
      <c r="G790" s="2" t="s">
        <v>88</v>
      </c>
      <c r="H790" s="2"/>
      <c r="I790" s="2"/>
      <c r="J790" s="2" t="s">
        <v>19</v>
      </c>
      <c r="K790" s="2"/>
      <c r="L790" s="2" t="s">
        <v>89</v>
      </c>
    </row>
    <row r="791" customFormat="false" ht="13.35" hidden="false" customHeight="true" outlineLevel="0" collapsed="false">
      <c r="A791" s="5" t="str">
        <f aca="false">HYPERLINK("https://www.fabsurplus.com/sdi_catalog/salesItemDetails.do?id=88021")</f>
        <v>https://www.fabsurplus.com/sdi_catalog/salesItemDetails.do?id=88021</v>
      </c>
      <c r="B791" s="5" t="s">
        <v>2172</v>
      </c>
      <c r="C791" s="5" t="s">
        <v>2125</v>
      </c>
      <c r="D791" s="5" t="s">
        <v>2173</v>
      </c>
      <c r="E791" s="5" t="s">
        <v>87</v>
      </c>
      <c r="F791" s="5" t="s">
        <v>176</v>
      </c>
      <c r="G791" s="5" t="s">
        <v>88</v>
      </c>
      <c r="H791" s="5"/>
      <c r="I791" s="5"/>
      <c r="J791" s="5" t="s">
        <v>19</v>
      </c>
      <c r="K791" s="5"/>
      <c r="L791" s="5" t="s">
        <v>89</v>
      </c>
    </row>
    <row r="792" customFormat="false" ht="13.35" hidden="false" customHeight="true" outlineLevel="0" collapsed="false">
      <c r="A792" s="2" t="str">
        <f aca="false">HYPERLINK("https://www.fabsurplus.com/sdi_catalog/salesItemDetails.do?id=88022")</f>
        <v>https://www.fabsurplus.com/sdi_catalog/salesItemDetails.do?id=88022</v>
      </c>
      <c r="B792" s="2" t="s">
        <v>2174</v>
      </c>
      <c r="C792" s="2" t="s">
        <v>2125</v>
      </c>
      <c r="D792" s="2" t="s">
        <v>2175</v>
      </c>
      <c r="E792" s="2" t="s">
        <v>87</v>
      </c>
      <c r="F792" s="2" t="s">
        <v>16</v>
      </c>
      <c r="G792" s="2" t="s">
        <v>88</v>
      </c>
      <c r="H792" s="2"/>
      <c r="I792" s="2"/>
      <c r="J792" s="2" t="s">
        <v>19</v>
      </c>
      <c r="K792" s="2"/>
      <c r="L792" s="2" t="s">
        <v>89</v>
      </c>
    </row>
    <row r="793" customFormat="false" ht="13.35" hidden="false" customHeight="true" outlineLevel="0" collapsed="false">
      <c r="A793" s="5" t="str">
        <f aca="false">HYPERLINK("https://www.fabsurplus.com/sdi_catalog/salesItemDetails.do?id=88023")</f>
        <v>https://www.fabsurplus.com/sdi_catalog/salesItemDetails.do?id=88023</v>
      </c>
      <c r="B793" s="5" t="s">
        <v>2176</v>
      </c>
      <c r="C793" s="5" t="s">
        <v>2125</v>
      </c>
      <c r="D793" s="5" t="s">
        <v>2177</v>
      </c>
      <c r="E793" s="5" t="s">
        <v>87</v>
      </c>
      <c r="F793" s="5" t="s">
        <v>125</v>
      </c>
      <c r="G793" s="5" t="s">
        <v>88</v>
      </c>
      <c r="H793" s="5"/>
      <c r="I793" s="5"/>
      <c r="J793" s="5" t="s">
        <v>19</v>
      </c>
      <c r="K793" s="5"/>
      <c r="L793" s="5" t="s">
        <v>89</v>
      </c>
    </row>
    <row r="794" customFormat="false" ht="13.35" hidden="false" customHeight="true" outlineLevel="0" collapsed="false">
      <c r="A794" s="2" t="str">
        <f aca="false">HYPERLINK("https://www.fabsurplus.com/sdi_catalog/salesItemDetails.do?id=88024")</f>
        <v>https://www.fabsurplus.com/sdi_catalog/salesItemDetails.do?id=88024</v>
      </c>
      <c r="B794" s="2" t="s">
        <v>2178</v>
      </c>
      <c r="C794" s="2" t="s">
        <v>2125</v>
      </c>
      <c r="D794" s="2" t="s">
        <v>2179</v>
      </c>
      <c r="E794" s="2" t="s">
        <v>87</v>
      </c>
      <c r="F794" s="2" t="s">
        <v>125</v>
      </c>
      <c r="G794" s="2" t="s">
        <v>88</v>
      </c>
      <c r="H794" s="2"/>
      <c r="I794" s="2"/>
      <c r="J794" s="2" t="s">
        <v>19</v>
      </c>
      <c r="K794" s="2"/>
      <c r="L794" s="2" t="s">
        <v>89</v>
      </c>
    </row>
    <row r="795" customFormat="false" ht="13.35" hidden="false" customHeight="true" outlineLevel="0" collapsed="false">
      <c r="A795" s="5" t="str">
        <f aca="false">HYPERLINK("https://www.fabsurplus.com/sdi_catalog/salesItemDetails.do?id=101000")</f>
        <v>https://www.fabsurplus.com/sdi_catalog/salesItemDetails.do?id=101000</v>
      </c>
      <c r="B795" s="5" t="s">
        <v>2180</v>
      </c>
      <c r="C795" s="5" t="s">
        <v>2181</v>
      </c>
      <c r="D795" s="5" t="s">
        <v>2182</v>
      </c>
      <c r="E795" s="5" t="s">
        <v>2183</v>
      </c>
      <c r="F795" s="5" t="s">
        <v>16</v>
      </c>
      <c r="G795" s="5" t="s">
        <v>499</v>
      </c>
      <c r="H795" s="5" t="s">
        <v>26</v>
      </c>
      <c r="I795" s="6" t="n">
        <v>37257</v>
      </c>
      <c r="J795" s="5" t="s">
        <v>19</v>
      </c>
      <c r="K795" s="5" t="s">
        <v>20</v>
      </c>
      <c r="L795" s="7" t="s">
        <v>2184</v>
      </c>
    </row>
    <row r="796" customFormat="false" ht="13.35" hidden="false" customHeight="true" outlineLevel="0" collapsed="false">
      <c r="A796" s="2" t="str">
        <f aca="false">HYPERLINK("https://www.fabsurplus.com/sdi_catalog/salesItemDetails.do?id=100634")</f>
        <v>https://www.fabsurplus.com/sdi_catalog/salesItemDetails.do?id=100634</v>
      </c>
      <c r="B796" s="2" t="s">
        <v>2185</v>
      </c>
      <c r="C796" s="2" t="s">
        <v>2181</v>
      </c>
      <c r="D796" s="2" t="s">
        <v>2186</v>
      </c>
      <c r="E796" s="2" t="s">
        <v>1357</v>
      </c>
      <c r="F796" s="2" t="s">
        <v>125</v>
      </c>
      <c r="G796" s="2" t="s">
        <v>160</v>
      </c>
      <c r="H796" s="2"/>
      <c r="I796" s="2"/>
      <c r="J796" s="2" t="s">
        <v>19</v>
      </c>
      <c r="K796" s="2"/>
      <c r="L796" s="2" t="s">
        <v>474</v>
      </c>
    </row>
    <row r="797" customFormat="false" ht="13.35" hidden="false" customHeight="true" outlineLevel="0" collapsed="false">
      <c r="A797" s="2" t="str">
        <f aca="false">HYPERLINK("https://www.fabsurplus.com/sdi_catalog/salesItemDetails.do?id=101830")</f>
        <v>https://www.fabsurplus.com/sdi_catalog/salesItemDetails.do?id=101830</v>
      </c>
      <c r="B797" s="2" t="s">
        <v>2187</v>
      </c>
      <c r="C797" s="2" t="s">
        <v>2188</v>
      </c>
      <c r="D797" s="2" t="s">
        <v>2189</v>
      </c>
      <c r="E797" s="2" t="s">
        <v>2190</v>
      </c>
      <c r="F797" s="2" t="s">
        <v>16</v>
      </c>
      <c r="G797" s="2" t="s">
        <v>1498</v>
      </c>
      <c r="H797" s="2" t="s">
        <v>26</v>
      </c>
      <c r="I797" s="3" t="n">
        <v>39295</v>
      </c>
      <c r="J797" s="2" t="s">
        <v>19</v>
      </c>
      <c r="K797" s="2" t="s">
        <v>20</v>
      </c>
      <c r="L797" s="2"/>
    </row>
    <row r="798" customFormat="false" ht="13.35" hidden="false" customHeight="true" outlineLevel="0" collapsed="false">
      <c r="A798" s="5" t="str">
        <f aca="false">HYPERLINK("https://www.fabsurplus.com/sdi_catalog/salesItemDetails.do?id=101831")</f>
        <v>https://www.fabsurplus.com/sdi_catalog/salesItemDetails.do?id=101831</v>
      </c>
      <c r="B798" s="5" t="s">
        <v>2191</v>
      </c>
      <c r="C798" s="5" t="s">
        <v>2188</v>
      </c>
      <c r="D798" s="5" t="s">
        <v>2189</v>
      </c>
      <c r="E798" s="5" t="s">
        <v>2192</v>
      </c>
      <c r="F798" s="5" t="s">
        <v>16</v>
      </c>
      <c r="G798" s="5" t="s">
        <v>1498</v>
      </c>
      <c r="H798" s="5" t="s">
        <v>26</v>
      </c>
      <c r="I798" s="6" t="n">
        <v>39661</v>
      </c>
      <c r="J798" s="5" t="s">
        <v>19</v>
      </c>
      <c r="K798" s="5" t="s">
        <v>20</v>
      </c>
      <c r="L798" s="5"/>
    </row>
    <row r="799" customFormat="false" ht="13.35" hidden="false" customHeight="true" outlineLevel="0" collapsed="false">
      <c r="A799" s="2" t="str">
        <f aca="false">HYPERLINK("https://www.fabsurplus.com/sdi_catalog/salesItemDetails.do?id=103152")</f>
        <v>https://www.fabsurplus.com/sdi_catalog/salesItemDetails.do?id=103152</v>
      </c>
      <c r="B799" s="2" t="s">
        <v>2193</v>
      </c>
      <c r="C799" s="2" t="s">
        <v>2194</v>
      </c>
      <c r="D799" s="2" t="s">
        <v>2195</v>
      </c>
      <c r="E799" s="2" t="s">
        <v>2196</v>
      </c>
      <c r="F799" s="2" t="s">
        <v>16</v>
      </c>
      <c r="G799" s="2"/>
      <c r="H799" s="2"/>
      <c r="I799" s="2"/>
      <c r="J799" s="2" t="s">
        <v>47</v>
      </c>
      <c r="K799" s="2"/>
      <c r="L799" s="2" t="s">
        <v>2197</v>
      </c>
    </row>
    <row r="800" customFormat="false" ht="13.35" hidden="false" customHeight="true" outlineLevel="0" collapsed="false">
      <c r="A800" s="5" t="str">
        <f aca="false">HYPERLINK("https://www.fabsurplus.com/sdi_catalog/salesItemDetails.do?id=87490")</f>
        <v>https://www.fabsurplus.com/sdi_catalog/salesItemDetails.do?id=87490</v>
      </c>
      <c r="B800" s="5" t="s">
        <v>2198</v>
      </c>
      <c r="C800" s="5" t="s">
        <v>2199</v>
      </c>
      <c r="D800" s="5" t="s">
        <v>2200</v>
      </c>
      <c r="E800" s="5" t="s">
        <v>2201</v>
      </c>
      <c r="F800" s="5" t="s">
        <v>16</v>
      </c>
      <c r="G800" s="5"/>
      <c r="H800" s="5"/>
      <c r="I800" s="5"/>
      <c r="J800" s="5" t="s">
        <v>19</v>
      </c>
      <c r="K800" s="5"/>
      <c r="L800" s="5"/>
    </row>
    <row r="801" customFormat="false" ht="13.35" hidden="false" customHeight="true" outlineLevel="0" collapsed="false">
      <c r="A801" s="5" t="str">
        <f aca="false">HYPERLINK("https://www.fabsurplus.com/sdi_catalog/salesItemDetails.do?id=101742")</f>
        <v>https://www.fabsurplus.com/sdi_catalog/salesItemDetails.do?id=101742</v>
      </c>
      <c r="B801" s="5" t="s">
        <v>2202</v>
      </c>
      <c r="C801" s="5" t="s">
        <v>2203</v>
      </c>
      <c r="D801" s="5" t="s">
        <v>2204</v>
      </c>
      <c r="E801" s="5" t="s">
        <v>2205</v>
      </c>
      <c r="F801" s="5" t="s">
        <v>16</v>
      </c>
      <c r="G801" s="5"/>
      <c r="H801" s="5"/>
      <c r="I801" s="6" t="n">
        <v>42887</v>
      </c>
      <c r="J801" s="5" t="s">
        <v>47</v>
      </c>
      <c r="K801" s="5"/>
      <c r="L801" s="5" t="s">
        <v>474</v>
      </c>
    </row>
    <row r="802" customFormat="false" ht="13.35" hidden="false" customHeight="true" outlineLevel="0" collapsed="false">
      <c r="A802" s="2" t="str">
        <f aca="false">HYPERLINK("https://www.fabsurplus.com/sdi_catalog/salesItemDetails.do?id=101743")</f>
        <v>https://www.fabsurplus.com/sdi_catalog/salesItemDetails.do?id=101743</v>
      </c>
      <c r="B802" s="2" t="s">
        <v>2206</v>
      </c>
      <c r="C802" s="2" t="s">
        <v>2203</v>
      </c>
      <c r="D802" s="2" t="s">
        <v>2204</v>
      </c>
      <c r="E802" s="2" t="s">
        <v>2205</v>
      </c>
      <c r="F802" s="2" t="s">
        <v>16</v>
      </c>
      <c r="G802" s="2"/>
      <c r="H802" s="2"/>
      <c r="I802" s="3" t="n">
        <v>42614</v>
      </c>
      <c r="J802" s="2" t="s">
        <v>47</v>
      </c>
      <c r="K802" s="2"/>
      <c r="L802" s="2" t="s">
        <v>474</v>
      </c>
    </row>
    <row r="803" customFormat="false" ht="13.35" hidden="false" customHeight="true" outlineLevel="0" collapsed="false">
      <c r="A803" s="5" t="str">
        <f aca="false">HYPERLINK("https://www.fabsurplus.com/sdi_catalog/salesItemDetails.do?id=101744")</f>
        <v>https://www.fabsurplus.com/sdi_catalog/salesItemDetails.do?id=101744</v>
      </c>
      <c r="B803" s="5" t="s">
        <v>2207</v>
      </c>
      <c r="C803" s="5" t="s">
        <v>2203</v>
      </c>
      <c r="D803" s="5" t="s">
        <v>2204</v>
      </c>
      <c r="E803" s="5" t="s">
        <v>2205</v>
      </c>
      <c r="F803" s="5" t="s">
        <v>16</v>
      </c>
      <c r="G803" s="5"/>
      <c r="H803" s="5"/>
      <c r="I803" s="6" t="n">
        <v>42826</v>
      </c>
      <c r="J803" s="5" t="s">
        <v>47</v>
      </c>
      <c r="K803" s="5"/>
      <c r="L803" s="5" t="s">
        <v>474</v>
      </c>
    </row>
    <row r="804" customFormat="false" ht="13.35" hidden="false" customHeight="true" outlineLevel="0" collapsed="false">
      <c r="A804" s="2" t="str">
        <f aca="false">HYPERLINK("https://www.fabsurplus.com/sdi_catalog/salesItemDetails.do?id=101745")</f>
        <v>https://www.fabsurplus.com/sdi_catalog/salesItemDetails.do?id=101745</v>
      </c>
      <c r="B804" s="2" t="s">
        <v>2208</v>
      </c>
      <c r="C804" s="2" t="s">
        <v>2203</v>
      </c>
      <c r="D804" s="2" t="s">
        <v>2204</v>
      </c>
      <c r="E804" s="2" t="s">
        <v>2205</v>
      </c>
      <c r="F804" s="2" t="s">
        <v>16</v>
      </c>
      <c r="G804" s="2"/>
      <c r="H804" s="2"/>
      <c r="I804" s="3" t="n">
        <v>42826</v>
      </c>
      <c r="J804" s="2" t="s">
        <v>47</v>
      </c>
      <c r="K804" s="2"/>
      <c r="L804" s="2" t="s">
        <v>474</v>
      </c>
    </row>
    <row r="805" customFormat="false" ht="13.35" hidden="false" customHeight="true" outlineLevel="0" collapsed="false">
      <c r="A805" s="5" t="str">
        <f aca="false">HYPERLINK("https://www.fabsurplus.com/sdi_catalog/salesItemDetails.do?id=101746")</f>
        <v>https://www.fabsurplus.com/sdi_catalog/salesItemDetails.do?id=101746</v>
      </c>
      <c r="B805" s="5" t="s">
        <v>2209</v>
      </c>
      <c r="C805" s="5" t="s">
        <v>2203</v>
      </c>
      <c r="D805" s="5" t="s">
        <v>2204</v>
      </c>
      <c r="E805" s="5" t="s">
        <v>2205</v>
      </c>
      <c r="F805" s="5" t="s">
        <v>16</v>
      </c>
      <c r="G805" s="5"/>
      <c r="H805" s="5"/>
      <c r="I805" s="6" t="n">
        <v>42826</v>
      </c>
      <c r="J805" s="5" t="s">
        <v>47</v>
      </c>
      <c r="K805" s="5"/>
      <c r="L805" s="5" t="s">
        <v>474</v>
      </c>
    </row>
    <row r="806" customFormat="false" ht="13.35" hidden="false" customHeight="true" outlineLevel="0" collapsed="false">
      <c r="A806" s="2" t="str">
        <f aca="false">HYPERLINK("https://www.fabsurplus.com/sdi_catalog/salesItemDetails.do?id=101747")</f>
        <v>https://www.fabsurplus.com/sdi_catalog/salesItemDetails.do?id=101747</v>
      </c>
      <c r="B806" s="2" t="s">
        <v>2210</v>
      </c>
      <c r="C806" s="2" t="s">
        <v>2203</v>
      </c>
      <c r="D806" s="2" t="s">
        <v>2204</v>
      </c>
      <c r="E806" s="2" t="s">
        <v>2205</v>
      </c>
      <c r="F806" s="2" t="s">
        <v>16</v>
      </c>
      <c r="G806" s="2"/>
      <c r="H806" s="2"/>
      <c r="I806" s="3" t="n">
        <v>42856</v>
      </c>
      <c r="J806" s="2" t="s">
        <v>47</v>
      </c>
      <c r="K806" s="2"/>
      <c r="L806" s="2" t="s">
        <v>474</v>
      </c>
    </row>
    <row r="807" customFormat="false" ht="13.35" hidden="false" customHeight="true" outlineLevel="0" collapsed="false">
      <c r="A807" s="5" t="str">
        <f aca="false">HYPERLINK("https://www.fabsurplus.com/sdi_catalog/salesItemDetails.do?id=101748")</f>
        <v>https://www.fabsurplus.com/sdi_catalog/salesItemDetails.do?id=101748</v>
      </c>
      <c r="B807" s="5" t="s">
        <v>2211</v>
      </c>
      <c r="C807" s="5" t="s">
        <v>2203</v>
      </c>
      <c r="D807" s="5" t="s">
        <v>2204</v>
      </c>
      <c r="E807" s="5" t="s">
        <v>2205</v>
      </c>
      <c r="F807" s="5" t="s">
        <v>16</v>
      </c>
      <c r="G807" s="5"/>
      <c r="H807" s="5"/>
      <c r="I807" s="6" t="n">
        <v>42856</v>
      </c>
      <c r="J807" s="5" t="s">
        <v>47</v>
      </c>
      <c r="K807" s="5"/>
      <c r="L807" s="5" t="s">
        <v>474</v>
      </c>
    </row>
    <row r="808" customFormat="false" ht="13.35" hidden="false" customHeight="true" outlineLevel="0" collapsed="false">
      <c r="A808" s="2" t="str">
        <f aca="false">HYPERLINK("https://www.fabsurplus.com/sdi_catalog/salesItemDetails.do?id=101749")</f>
        <v>https://www.fabsurplus.com/sdi_catalog/salesItemDetails.do?id=101749</v>
      </c>
      <c r="B808" s="2" t="s">
        <v>2212</v>
      </c>
      <c r="C808" s="2" t="s">
        <v>2203</v>
      </c>
      <c r="D808" s="2" t="s">
        <v>2204</v>
      </c>
      <c r="E808" s="2" t="s">
        <v>2205</v>
      </c>
      <c r="F808" s="2" t="s">
        <v>16</v>
      </c>
      <c r="G808" s="2"/>
      <c r="H808" s="2"/>
      <c r="I808" s="3" t="n">
        <v>42856</v>
      </c>
      <c r="J808" s="2" t="s">
        <v>47</v>
      </c>
      <c r="K808" s="2"/>
      <c r="L808" s="2" t="s">
        <v>474</v>
      </c>
    </row>
    <row r="809" customFormat="false" ht="13.35" hidden="false" customHeight="true" outlineLevel="0" collapsed="false">
      <c r="A809" s="5" t="str">
        <f aca="false">HYPERLINK("https://www.fabsurplus.com/sdi_catalog/salesItemDetails.do?id=101750")</f>
        <v>https://www.fabsurplus.com/sdi_catalog/salesItemDetails.do?id=101750</v>
      </c>
      <c r="B809" s="5" t="s">
        <v>2213</v>
      </c>
      <c r="C809" s="5" t="s">
        <v>2203</v>
      </c>
      <c r="D809" s="5" t="s">
        <v>2214</v>
      </c>
      <c r="E809" s="5" t="s">
        <v>2215</v>
      </c>
      <c r="F809" s="5" t="s">
        <v>16</v>
      </c>
      <c r="G809" s="5"/>
      <c r="H809" s="5"/>
      <c r="I809" s="6" t="n">
        <v>42186</v>
      </c>
      <c r="J809" s="5" t="s">
        <v>47</v>
      </c>
      <c r="K809" s="5"/>
      <c r="L809" s="5" t="s">
        <v>474</v>
      </c>
    </row>
    <row r="810" customFormat="false" ht="13.35" hidden="false" customHeight="true" outlineLevel="0" collapsed="false">
      <c r="A810" s="2" t="str">
        <f aca="false">HYPERLINK("https://www.fabsurplus.com/sdi_catalog/salesItemDetails.do?id=97851")</f>
        <v>https://www.fabsurplus.com/sdi_catalog/salesItemDetails.do?id=97851</v>
      </c>
      <c r="B810" s="2" t="s">
        <v>2216</v>
      </c>
      <c r="C810" s="2" t="s">
        <v>2217</v>
      </c>
      <c r="D810" s="2" t="s">
        <v>2218</v>
      </c>
      <c r="E810" s="2" t="s">
        <v>421</v>
      </c>
      <c r="F810" s="2" t="s">
        <v>16</v>
      </c>
      <c r="G810" s="2"/>
      <c r="H810" s="2"/>
      <c r="I810" s="2"/>
      <c r="J810" s="2" t="s">
        <v>19</v>
      </c>
      <c r="K810" s="2"/>
      <c r="L810" s="2"/>
    </row>
    <row r="811" customFormat="false" ht="13.35" hidden="false" customHeight="true" outlineLevel="0" collapsed="false">
      <c r="A811" s="2" t="str">
        <f aca="false">HYPERLINK("https://www.fabsurplus.com/sdi_catalog/salesItemDetails.do?id=100635")</f>
        <v>https://www.fabsurplus.com/sdi_catalog/salesItemDetails.do?id=100635</v>
      </c>
      <c r="B811" s="2" t="s">
        <v>2219</v>
      </c>
      <c r="C811" s="2" t="s">
        <v>2220</v>
      </c>
      <c r="D811" s="2" t="s">
        <v>2221</v>
      </c>
      <c r="E811" s="2" t="s">
        <v>2222</v>
      </c>
      <c r="F811" s="2" t="s">
        <v>16</v>
      </c>
      <c r="G811" s="2"/>
      <c r="H811" s="2"/>
      <c r="I811" s="2"/>
      <c r="J811" s="2" t="s">
        <v>19</v>
      </c>
      <c r="K811" s="2"/>
      <c r="L811" s="2" t="s">
        <v>474</v>
      </c>
    </row>
    <row r="812" customFormat="false" ht="13.35" hidden="false" customHeight="true" outlineLevel="0" collapsed="false">
      <c r="A812" s="2" t="str">
        <f aca="false">HYPERLINK("https://www.fabsurplus.com/sdi_catalog/salesItemDetails.do?id=100637")</f>
        <v>https://www.fabsurplus.com/sdi_catalog/salesItemDetails.do?id=100637</v>
      </c>
      <c r="B812" s="2" t="s">
        <v>2223</v>
      </c>
      <c r="C812" s="2" t="s">
        <v>2220</v>
      </c>
      <c r="D812" s="2" t="s">
        <v>2224</v>
      </c>
      <c r="E812" s="2" t="s">
        <v>2225</v>
      </c>
      <c r="F812" s="2" t="s">
        <v>16</v>
      </c>
      <c r="G812" s="2" t="s">
        <v>36</v>
      </c>
      <c r="H812" s="2"/>
      <c r="I812" s="2"/>
      <c r="J812" s="2" t="s">
        <v>19</v>
      </c>
      <c r="K812" s="2"/>
      <c r="L812" s="2" t="s">
        <v>474</v>
      </c>
    </row>
    <row r="813" customFormat="false" ht="13.35" hidden="false" customHeight="true" outlineLevel="0" collapsed="false">
      <c r="A813" s="5" t="str">
        <f aca="false">HYPERLINK("https://www.fabsurplus.com/sdi_catalog/salesItemDetails.do?id=75706")</f>
        <v>https://www.fabsurplus.com/sdi_catalog/salesItemDetails.do?id=75706</v>
      </c>
      <c r="B813" s="5" t="s">
        <v>2226</v>
      </c>
      <c r="C813" s="5" t="s">
        <v>2220</v>
      </c>
      <c r="D813" s="5" t="s">
        <v>2227</v>
      </c>
      <c r="E813" s="5" t="s">
        <v>2222</v>
      </c>
      <c r="F813" s="5" t="s">
        <v>58</v>
      </c>
      <c r="G813" s="5"/>
      <c r="H813" s="5"/>
      <c r="I813" s="5"/>
      <c r="J813" s="5" t="s">
        <v>19</v>
      </c>
      <c r="K813" s="5"/>
      <c r="L813" s="5" t="s">
        <v>2228</v>
      </c>
    </row>
    <row r="814" customFormat="false" ht="13.35" hidden="false" customHeight="true" outlineLevel="0" collapsed="false">
      <c r="A814" s="5" t="str">
        <f aca="false">HYPERLINK("https://www.fabsurplus.com/sdi_catalog/salesItemDetails.do?id=100638")</f>
        <v>https://www.fabsurplus.com/sdi_catalog/salesItemDetails.do?id=100638</v>
      </c>
      <c r="B814" s="5" t="s">
        <v>2229</v>
      </c>
      <c r="C814" s="5" t="s">
        <v>2220</v>
      </c>
      <c r="D814" s="5" t="s">
        <v>2230</v>
      </c>
      <c r="E814" s="5" t="s">
        <v>2222</v>
      </c>
      <c r="F814" s="5" t="s">
        <v>16</v>
      </c>
      <c r="G814" s="5"/>
      <c r="H814" s="5"/>
      <c r="I814" s="5"/>
      <c r="J814" s="5" t="s">
        <v>19</v>
      </c>
      <c r="K814" s="5"/>
      <c r="L814" s="5" t="s">
        <v>474</v>
      </c>
    </row>
    <row r="815" customFormat="false" ht="13.35" hidden="false" customHeight="true" outlineLevel="0" collapsed="false">
      <c r="A815" s="5" t="str">
        <f aca="false">HYPERLINK("https://www.fabsurplus.com/sdi_catalog/salesItemDetails.do?id=100639")</f>
        <v>https://www.fabsurplus.com/sdi_catalog/salesItemDetails.do?id=100639</v>
      </c>
      <c r="B815" s="5" t="s">
        <v>2231</v>
      </c>
      <c r="C815" s="5" t="s">
        <v>2220</v>
      </c>
      <c r="D815" s="5" t="s">
        <v>2232</v>
      </c>
      <c r="E815" s="5" t="s">
        <v>2222</v>
      </c>
      <c r="F815" s="5" t="s">
        <v>16</v>
      </c>
      <c r="G815" s="5"/>
      <c r="H815" s="5"/>
      <c r="I815" s="5"/>
      <c r="J815" s="5" t="s">
        <v>19</v>
      </c>
      <c r="K815" s="5"/>
      <c r="L815" s="5" t="s">
        <v>474</v>
      </c>
    </row>
    <row r="816" customFormat="false" ht="13.35" hidden="false" customHeight="true" outlineLevel="0" collapsed="false">
      <c r="A816" s="2" t="str">
        <f aca="false">HYPERLINK("https://www.fabsurplus.com/sdi_catalog/salesItemDetails.do?id=102174")</f>
        <v>https://www.fabsurplus.com/sdi_catalog/salesItemDetails.do?id=102174</v>
      </c>
      <c r="B816" s="2" t="s">
        <v>2233</v>
      </c>
      <c r="C816" s="2" t="s">
        <v>2220</v>
      </c>
      <c r="D816" s="2" t="s">
        <v>2234</v>
      </c>
      <c r="E816" s="2" t="s">
        <v>2235</v>
      </c>
      <c r="F816" s="2" t="s">
        <v>16</v>
      </c>
      <c r="G816" s="2" t="s">
        <v>36</v>
      </c>
      <c r="H816" s="2"/>
      <c r="I816" s="3" t="n">
        <v>34121</v>
      </c>
      <c r="J816" s="2" t="s">
        <v>19</v>
      </c>
      <c r="K816" s="2"/>
      <c r="L816" s="2"/>
    </row>
    <row r="817" customFormat="false" ht="13.35" hidden="false" customHeight="true" outlineLevel="0" collapsed="false">
      <c r="A817" s="5" t="str">
        <f aca="false">HYPERLINK("https://www.fabsurplus.com/sdi_catalog/salesItemDetails.do?id=100703")</f>
        <v>https://www.fabsurplus.com/sdi_catalog/salesItemDetails.do?id=100703</v>
      </c>
      <c r="B817" s="5" t="s">
        <v>2236</v>
      </c>
      <c r="C817" s="5" t="s">
        <v>2220</v>
      </c>
      <c r="D817" s="5" t="s">
        <v>2237</v>
      </c>
      <c r="E817" s="5" t="s">
        <v>2238</v>
      </c>
      <c r="F817" s="5" t="s">
        <v>125</v>
      </c>
      <c r="G817" s="5" t="s">
        <v>2239</v>
      </c>
      <c r="H817" s="5" t="s">
        <v>18</v>
      </c>
      <c r="I817" s="6" t="n">
        <v>40695</v>
      </c>
      <c r="J817" s="5" t="s">
        <v>19</v>
      </c>
      <c r="K817" s="5" t="s">
        <v>20</v>
      </c>
      <c r="L817" s="7" t="s">
        <v>2240</v>
      </c>
    </row>
    <row r="818" customFormat="false" ht="13.35" hidden="false" customHeight="true" outlineLevel="0" collapsed="false">
      <c r="A818" s="2" t="str">
        <f aca="false">HYPERLINK("https://www.fabsurplus.com/sdi_catalog/salesItemDetails.do?id=102496")</f>
        <v>https://www.fabsurplus.com/sdi_catalog/salesItemDetails.do?id=102496</v>
      </c>
      <c r="B818" s="2" t="s">
        <v>2241</v>
      </c>
      <c r="C818" s="2" t="s">
        <v>2242</v>
      </c>
      <c r="D818" s="2" t="s">
        <v>2243</v>
      </c>
      <c r="E818" s="2" t="s">
        <v>2244</v>
      </c>
      <c r="F818" s="2" t="s">
        <v>16</v>
      </c>
      <c r="G818" s="2"/>
      <c r="H818" s="2" t="s">
        <v>1974</v>
      </c>
      <c r="I818" s="3" t="n">
        <v>40756</v>
      </c>
      <c r="J818" s="2" t="s">
        <v>19</v>
      </c>
      <c r="K818" s="2"/>
      <c r="L818" s="2" t="s">
        <v>177</v>
      </c>
    </row>
    <row r="819" customFormat="false" ht="13.35" hidden="false" customHeight="true" outlineLevel="0" collapsed="false">
      <c r="A819" s="5" t="str">
        <f aca="false">HYPERLINK("https://www.fabsurplus.com/sdi_catalog/salesItemDetails.do?id=90087")</f>
        <v>https://www.fabsurplus.com/sdi_catalog/salesItemDetails.do?id=90087</v>
      </c>
      <c r="B819" s="5" t="s">
        <v>2245</v>
      </c>
      <c r="C819" s="5" t="s">
        <v>2242</v>
      </c>
      <c r="D819" s="5" t="s">
        <v>2243</v>
      </c>
      <c r="E819" s="5" t="s">
        <v>2246</v>
      </c>
      <c r="F819" s="5" t="s">
        <v>16</v>
      </c>
      <c r="G819" s="5" t="s">
        <v>17</v>
      </c>
      <c r="H819" s="5" t="s">
        <v>18</v>
      </c>
      <c r="I819" s="6" t="n">
        <v>41061</v>
      </c>
      <c r="J819" s="5" t="s">
        <v>19</v>
      </c>
      <c r="K819" s="5" t="s">
        <v>20</v>
      </c>
      <c r="L819" s="7" t="s">
        <v>2247</v>
      </c>
    </row>
    <row r="820" customFormat="false" ht="13.35" hidden="false" customHeight="true" outlineLevel="0" collapsed="false">
      <c r="A820" s="2" t="str">
        <f aca="false">HYPERLINK("https://www.fabsurplus.com/sdi_catalog/salesItemDetails.do?id=90089")</f>
        <v>https://www.fabsurplus.com/sdi_catalog/salesItemDetails.do?id=90089</v>
      </c>
      <c r="B820" s="2" t="s">
        <v>2248</v>
      </c>
      <c r="C820" s="2" t="s">
        <v>2242</v>
      </c>
      <c r="D820" s="2" t="s">
        <v>2243</v>
      </c>
      <c r="E820" s="2" t="s">
        <v>2249</v>
      </c>
      <c r="F820" s="2" t="s">
        <v>16</v>
      </c>
      <c r="G820" s="2" t="s">
        <v>17</v>
      </c>
      <c r="H820" s="2" t="s">
        <v>18</v>
      </c>
      <c r="I820" s="3" t="n">
        <v>41061</v>
      </c>
      <c r="J820" s="2" t="s">
        <v>19</v>
      </c>
      <c r="K820" s="2" t="s">
        <v>20</v>
      </c>
      <c r="L820" s="4" t="s">
        <v>2250</v>
      </c>
    </row>
    <row r="821" customFormat="false" ht="13.35" hidden="false" customHeight="true" outlineLevel="0" collapsed="false">
      <c r="A821" s="2" t="str">
        <f aca="false">HYPERLINK("https://www.fabsurplus.com/sdi_catalog/salesItemDetails.do?id=103138")</f>
        <v>https://www.fabsurplus.com/sdi_catalog/salesItemDetails.do?id=103138</v>
      </c>
      <c r="B821" s="2" t="s">
        <v>2251</v>
      </c>
      <c r="C821" s="2" t="s">
        <v>2242</v>
      </c>
      <c r="D821" s="2" t="s">
        <v>2252</v>
      </c>
      <c r="E821" s="2" t="s">
        <v>2253</v>
      </c>
      <c r="F821" s="2" t="s">
        <v>16</v>
      </c>
      <c r="G821" s="2"/>
      <c r="H821" s="2" t="s">
        <v>26</v>
      </c>
      <c r="I821" s="3" t="n">
        <v>40026</v>
      </c>
      <c r="J821" s="2" t="s">
        <v>47</v>
      </c>
      <c r="K821" s="2" t="s">
        <v>20</v>
      </c>
      <c r="L821" s="2" t="s">
        <v>2254</v>
      </c>
    </row>
    <row r="822" customFormat="false" ht="13.35" hidden="false" customHeight="true" outlineLevel="0" collapsed="false">
      <c r="A822" s="5" t="str">
        <f aca="false">HYPERLINK("https://www.fabsurplus.com/sdi_catalog/salesItemDetails.do?id=102871")</f>
        <v>https://www.fabsurplus.com/sdi_catalog/salesItemDetails.do?id=102871</v>
      </c>
      <c r="B822" s="5" t="s">
        <v>2255</v>
      </c>
      <c r="C822" s="5" t="s">
        <v>2220</v>
      </c>
      <c r="D822" s="5" t="s">
        <v>2256</v>
      </c>
      <c r="E822" s="5" t="s">
        <v>2257</v>
      </c>
      <c r="F822" s="5" t="s">
        <v>16</v>
      </c>
      <c r="G822" s="5" t="s">
        <v>36</v>
      </c>
      <c r="H822" s="5"/>
      <c r="I822" s="6" t="n">
        <v>38869</v>
      </c>
      <c r="J822" s="5" t="s">
        <v>19</v>
      </c>
      <c r="K822" s="5"/>
      <c r="L822" s="5" t="s">
        <v>2258</v>
      </c>
    </row>
    <row r="823" customFormat="false" ht="13.35" hidden="false" customHeight="true" outlineLevel="0" collapsed="false">
      <c r="A823" s="2" t="str">
        <f aca="false">HYPERLINK("https://www.fabsurplus.com/sdi_catalog/salesItemDetails.do?id=102953")</f>
        <v>https://www.fabsurplus.com/sdi_catalog/salesItemDetails.do?id=102953</v>
      </c>
      <c r="B823" s="2" t="s">
        <v>2259</v>
      </c>
      <c r="C823" s="2" t="s">
        <v>2242</v>
      </c>
      <c r="D823" s="2" t="s">
        <v>2260</v>
      </c>
      <c r="E823" s="2" t="s">
        <v>2261</v>
      </c>
      <c r="F823" s="2" t="s">
        <v>16</v>
      </c>
      <c r="G823" s="2" t="s">
        <v>499</v>
      </c>
      <c r="H823" s="2"/>
      <c r="I823" s="3" t="n">
        <v>41426</v>
      </c>
      <c r="J823" s="2" t="s">
        <v>19</v>
      </c>
      <c r="K823" s="2"/>
      <c r="L823" s="2"/>
    </row>
    <row r="824" customFormat="false" ht="13.35" hidden="false" customHeight="true" outlineLevel="0" collapsed="false">
      <c r="A824" s="2" t="str">
        <f aca="false">HYPERLINK("https://www.fabsurplus.com/sdi_catalog/salesItemDetails.do?id=102872")</f>
        <v>https://www.fabsurplus.com/sdi_catalog/salesItemDetails.do?id=102872</v>
      </c>
      <c r="B824" s="2" t="s">
        <v>2262</v>
      </c>
      <c r="C824" s="2" t="s">
        <v>2220</v>
      </c>
      <c r="D824" s="2" t="s">
        <v>2263</v>
      </c>
      <c r="E824" s="2" t="s">
        <v>2264</v>
      </c>
      <c r="F824" s="2" t="s">
        <v>16</v>
      </c>
      <c r="G824" s="2"/>
      <c r="H824" s="2"/>
      <c r="I824" s="3" t="n">
        <v>38869</v>
      </c>
      <c r="J824" s="2" t="s">
        <v>19</v>
      </c>
      <c r="K824" s="2"/>
      <c r="L824" s="2" t="s">
        <v>2264</v>
      </c>
    </row>
    <row r="825" customFormat="false" ht="13.35" hidden="false" customHeight="true" outlineLevel="0" collapsed="false">
      <c r="A825" s="2" t="str">
        <f aca="false">HYPERLINK("https://www.fabsurplus.com/sdi_catalog/salesItemDetails.do?id=102175")</f>
        <v>https://www.fabsurplus.com/sdi_catalog/salesItemDetails.do?id=102175</v>
      </c>
      <c r="B825" s="2" t="s">
        <v>2265</v>
      </c>
      <c r="C825" s="2" t="s">
        <v>2220</v>
      </c>
      <c r="D825" s="2" t="s">
        <v>2266</v>
      </c>
      <c r="E825" s="2" t="s">
        <v>2267</v>
      </c>
      <c r="F825" s="2" t="s">
        <v>16</v>
      </c>
      <c r="G825" s="2"/>
      <c r="H825" s="2"/>
      <c r="I825" s="3" t="n">
        <v>41061</v>
      </c>
      <c r="J825" s="2" t="s">
        <v>19</v>
      </c>
      <c r="K825" s="2"/>
      <c r="L825" s="2"/>
    </row>
    <row r="826" customFormat="false" ht="13.35" hidden="false" customHeight="true" outlineLevel="0" collapsed="false">
      <c r="A826" s="2" t="str">
        <f aca="false">HYPERLINK("https://www.fabsurplus.com/sdi_catalog/salesItemDetails.do?id=101794")</f>
        <v>https://www.fabsurplus.com/sdi_catalog/salesItemDetails.do?id=101794</v>
      </c>
      <c r="B826" s="2" t="s">
        <v>2268</v>
      </c>
      <c r="C826" s="2" t="s">
        <v>2269</v>
      </c>
      <c r="D826" s="2" t="s">
        <v>2270</v>
      </c>
      <c r="E826" s="2" t="s">
        <v>2271</v>
      </c>
      <c r="F826" s="2" t="s">
        <v>16</v>
      </c>
      <c r="G826" s="2" t="s">
        <v>17</v>
      </c>
      <c r="H826" s="2"/>
      <c r="I826" s="2"/>
      <c r="J826" s="2" t="s">
        <v>47</v>
      </c>
      <c r="K826" s="2"/>
      <c r="L826" s="2"/>
    </row>
    <row r="827" customFormat="false" ht="13.35" hidden="false" customHeight="true" outlineLevel="0" collapsed="false">
      <c r="A827" s="5" t="str">
        <f aca="false">HYPERLINK("https://www.fabsurplus.com/sdi_catalog/salesItemDetails.do?id=64271")</f>
        <v>https://www.fabsurplus.com/sdi_catalog/salesItemDetails.do?id=64271</v>
      </c>
      <c r="B827" s="5" t="s">
        <v>2272</v>
      </c>
      <c r="C827" s="5" t="s">
        <v>2273</v>
      </c>
      <c r="D827" s="5" t="s">
        <v>2274</v>
      </c>
      <c r="E827" s="5" t="s">
        <v>2275</v>
      </c>
      <c r="F827" s="5" t="s">
        <v>16</v>
      </c>
      <c r="G827" s="5" t="s">
        <v>862</v>
      </c>
      <c r="H827" s="5" t="s">
        <v>592</v>
      </c>
      <c r="I827" s="6" t="n">
        <v>34121</v>
      </c>
      <c r="J827" s="5" t="s">
        <v>19</v>
      </c>
      <c r="K827" s="5" t="s">
        <v>20</v>
      </c>
      <c r="L827" s="7" t="s">
        <v>2276</v>
      </c>
    </row>
    <row r="828" customFormat="false" ht="13.35" hidden="false" customHeight="true" outlineLevel="0" collapsed="false">
      <c r="A828" s="5" t="str">
        <f aca="false">HYPERLINK("https://www.fabsurplus.com/sdi_catalog/salesItemDetails.do?id=94447")</f>
        <v>https://www.fabsurplus.com/sdi_catalog/salesItemDetails.do?id=94447</v>
      </c>
      <c r="B828" s="5" t="s">
        <v>2277</v>
      </c>
      <c r="C828" s="5" t="s">
        <v>2273</v>
      </c>
      <c r="D828" s="5" t="s">
        <v>2278</v>
      </c>
      <c r="E828" s="5" t="s">
        <v>2279</v>
      </c>
      <c r="F828" s="5" t="s">
        <v>16</v>
      </c>
      <c r="G828" s="5" t="s">
        <v>17</v>
      </c>
      <c r="H828" s="5"/>
      <c r="I828" s="6" t="n">
        <v>38869</v>
      </c>
      <c r="J828" s="5" t="s">
        <v>19</v>
      </c>
      <c r="K828" s="5"/>
      <c r="L828" s="5" t="s">
        <v>2280</v>
      </c>
    </row>
    <row r="829" customFormat="false" ht="13.35" hidden="false" customHeight="true" outlineLevel="0" collapsed="false">
      <c r="A829" s="5" t="str">
        <f aca="false">HYPERLINK("https://www.fabsurplus.com/sdi_catalog/salesItemDetails.do?id=94448")</f>
        <v>https://www.fabsurplus.com/sdi_catalog/salesItemDetails.do?id=94448</v>
      </c>
      <c r="B829" s="5" t="s">
        <v>2281</v>
      </c>
      <c r="C829" s="5" t="s">
        <v>2273</v>
      </c>
      <c r="D829" s="5" t="s">
        <v>2278</v>
      </c>
      <c r="E829" s="5" t="s">
        <v>2279</v>
      </c>
      <c r="F829" s="5" t="s">
        <v>16</v>
      </c>
      <c r="G829" s="5" t="s">
        <v>17</v>
      </c>
      <c r="H829" s="5"/>
      <c r="I829" s="6" t="n">
        <v>40695</v>
      </c>
      <c r="J829" s="5" t="s">
        <v>19</v>
      </c>
      <c r="K829" s="5"/>
      <c r="L829" s="5" t="s">
        <v>2280</v>
      </c>
    </row>
    <row r="830" customFormat="false" ht="13.35" hidden="false" customHeight="true" outlineLevel="0" collapsed="false">
      <c r="A830" s="2" t="str">
        <f aca="false">HYPERLINK("https://www.fabsurplus.com/sdi_catalog/salesItemDetails.do?id=94449")</f>
        <v>https://www.fabsurplus.com/sdi_catalog/salesItemDetails.do?id=94449</v>
      </c>
      <c r="B830" s="2" t="s">
        <v>2282</v>
      </c>
      <c r="C830" s="2" t="s">
        <v>2273</v>
      </c>
      <c r="D830" s="2" t="s">
        <v>2278</v>
      </c>
      <c r="E830" s="2" t="s">
        <v>2283</v>
      </c>
      <c r="F830" s="2" t="s">
        <v>16</v>
      </c>
      <c r="G830" s="2" t="s">
        <v>17</v>
      </c>
      <c r="H830" s="2"/>
      <c r="I830" s="2"/>
      <c r="J830" s="2" t="s">
        <v>19</v>
      </c>
      <c r="K830" s="2"/>
      <c r="L830" s="2" t="s">
        <v>806</v>
      </c>
    </row>
    <row r="831" customFormat="false" ht="13.35" hidden="false" customHeight="true" outlineLevel="0" collapsed="false">
      <c r="A831" s="5" t="str">
        <f aca="false">HYPERLINK("https://www.fabsurplus.com/sdi_catalog/salesItemDetails.do?id=94450")</f>
        <v>https://www.fabsurplus.com/sdi_catalog/salesItemDetails.do?id=94450</v>
      </c>
      <c r="B831" s="5" t="s">
        <v>2284</v>
      </c>
      <c r="C831" s="5" t="s">
        <v>2273</v>
      </c>
      <c r="D831" s="5" t="s">
        <v>2285</v>
      </c>
      <c r="E831" s="5" t="s">
        <v>2286</v>
      </c>
      <c r="F831" s="5" t="s">
        <v>16</v>
      </c>
      <c r="G831" s="5" t="s">
        <v>17</v>
      </c>
      <c r="H831" s="5"/>
      <c r="I831" s="6" t="n">
        <v>39600</v>
      </c>
      <c r="J831" s="5" t="s">
        <v>19</v>
      </c>
      <c r="K831" s="5"/>
      <c r="L831" s="5" t="s">
        <v>2280</v>
      </c>
    </row>
    <row r="832" customFormat="false" ht="13.35" hidden="false" customHeight="true" outlineLevel="0" collapsed="false">
      <c r="A832" s="5" t="str">
        <f aca="false">HYPERLINK("https://www.fabsurplus.com/sdi_catalog/salesItemDetails.do?id=93115")</f>
        <v>https://www.fabsurplus.com/sdi_catalog/salesItemDetails.do?id=93115</v>
      </c>
      <c r="B832" s="5" t="s">
        <v>2287</v>
      </c>
      <c r="C832" s="5" t="s">
        <v>2273</v>
      </c>
      <c r="D832" s="5" t="s">
        <v>2285</v>
      </c>
      <c r="E832" s="5" t="s">
        <v>2288</v>
      </c>
      <c r="F832" s="5" t="s">
        <v>16</v>
      </c>
      <c r="G832" s="5" t="s">
        <v>663</v>
      </c>
      <c r="H832" s="5"/>
      <c r="I832" s="6" t="n">
        <v>39234</v>
      </c>
      <c r="J832" s="5" t="s">
        <v>19</v>
      </c>
      <c r="K832" s="5"/>
      <c r="L832" s="5" t="s">
        <v>112</v>
      </c>
    </row>
    <row r="833" customFormat="false" ht="13.35" hidden="false" customHeight="true" outlineLevel="0" collapsed="false">
      <c r="A833" s="5" t="str">
        <f aca="false">HYPERLINK("https://www.fabsurplus.com/sdi_catalog/salesItemDetails.do?id=94451")</f>
        <v>https://www.fabsurplus.com/sdi_catalog/salesItemDetails.do?id=94451</v>
      </c>
      <c r="B833" s="5" t="s">
        <v>2289</v>
      </c>
      <c r="C833" s="5" t="s">
        <v>2273</v>
      </c>
      <c r="D833" s="5" t="s">
        <v>2285</v>
      </c>
      <c r="E833" s="5" t="s">
        <v>2290</v>
      </c>
      <c r="F833" s="5" t="s">
        <v>16</v>
      </c>
      <c r="G833" s="5" t="s">
        <v>17</v>
      </c>
      <c r="H833" s="5"/>
      <c r="I833" s="5"/>
      <c r="J833" s="5" t="s">
        <v>19</v>
      </c>
      <c r="K833" s="5"/>
      <c r="L833" s="5" t="s">
        <v>806</v>
      </c>
    </row>
    <row r="834" customFormat="false" ht="13.35" hidden="false" customHeight="true" outlineLevel="0" collapsed="false">
      <c r="A834" s="2" t="str">
        <f aca="false">HYPERLINK("https://www.fabsurplus.com/sdi_catalog/salesItemDetails.do?id=94452")</f>
        <v>https://www.fabsurplus.com/sdi_catalog/salesItemDetails.do?id=94452</v>
      </c>
      <c r="B834" s="2" t="s">
        <v>2291</v>
      </c>
      <c r="C834" s="2" t="s">
        <v>2273</v>
      </c>
      <c r="D834" s="2" t="s">
        <v>2285</v>
      </c>
      <c r="E834" s="2" t="s">
        <v>2290</v>
      </c>
      <c r="F834" s="2" t="s">
        <v>16</v>
      </c>
      <c r="G834" s="2" t="s">
        <v>17</v>
      </c>
      <c r="H834" s="2"/>
      <c r="I834" s="2"/>
      <c r="J834" s="2" t="s">
        <v>19</v>
      </c>
      <c r="K834" s="2"/>
      <c r="L834" s="2" t="s">
        <v>806</v>
      </c>
    </row>
    <row r="835" customFormat="false" ht="13.35" hidden="false" customHeight="true" outlineLevel="0" collapsed="false">
      <c r="A835" s="2" t="str">
        <f aca="false">HYPERLINK("https://www.fabsurplus.com/sdi_catalog/salesItemDetails.do?id=94453")</f>
        <v>https://www.fabsurplus.com/sdi_catalog/salesItemDetails.do?id=94453</v>
      </c>
      <c r="B835" s="2" t="s">
        <v>2292</v>
      </c>
      <c r="C835" s="2" t="s">
        <v>2273</v>
      </c>
      <c r="D835" s="2" t="s">
        <v>2285</v>
      </c>
      <c r="E835" s="2" t="s">
        <v>2290</v>
      </c>
      <c r="F835" s="2" t="s">
        <v>16</v>
      </c>
      <c r="G835" s="2" t="s">
        <v>17</v>
      </c>
      <c r="H835" s="2"/>
      <c r="I835" s="2"/>
      <c r="J835" s="2" t="s">
        <v>19</v>
      </c>
      <c r="K835" s="2"/>
      <c r="L835" s="2" t="s">
        <v>806</v>
      </c>
    </row>
    <row r="836" customFormat="false" ht="13.35" hidden="false" customHeight="true" outlineLevel="0" collapsed="false">
      <c r="A836" s="5" t="str">
        <f aca="false">HYPERLINK("https://www.fabsurplus.com/sdi_catalog/salesItemDetails.do?id=94454")</f>
        <v>https://www.fabsurplus.com/sdi_catalog/salesItemDetails.do?id=94454</v>
      </c>
      <c r="B836" s="5" t="s">
        <v>2293</v>
      </c>
      <c r="C836" s="5" t="s">
        <v>2273</v>
      </c>
      <c r="D836" s="5" t="s">
        <v>2294</v>
      </c>
      <c r="E836" s="5" t="s">
        <v>2295</v>
      </c>
      <c r="F836" s="5" t="s">
        <v>16</v>
      </c>
      <c r="G836" s="5" t="s">
        <v>17</v>
      </c>
      <c r="H836" s="5"/>
      <c r="I836" s="5"/>
      <c r="J836" s="5" t="s">
        <v>19</v>
      </c>
      <c r="K836" s="5"/>
      <c r="L836" s="5" t="s">
        <v>806</v>
      </c>
    </row>
    <row r="837" customFormat="false" ht="13.35" hidden="false" customHeight="true" outlineLevel="0" collapsed="false">
      <c r="A837" s="2" t="str">
        <f aca="false">HYPERLINK("https://www.fabsurplus.com/sdi_catalog/salesItemDetails.do?id=94455")</f>
        <v>https://www.fabsurplus.com/sdi_catalog/salesItemDetails.do?id=94455</v>
      </c>
      <c r="B837" s="2" t="s">
        <v>2296</v>
      </c>
      <c r="C837" s="2" t="s">
        <v>2273</v>
      </c>
      <c r="D837" s="2" t="s">
        <v>2294</v>
      </c>
      <c r="E837" s="2" t="s">
        <v>2297</v>
      </c>
      <c r="F837" s="2" t="s">
        <v>16</v>
      </c>
      <c r="G837" s="2" t="s">
        <v>17</v>
      </c>
      <c r="H837" s="2"/>
      <c r="I837" s="3" t="n">
        <v>39965</v>
      </c>
      <c r="J837" s="2" t="s">
        <v>19</v>
      </c>
      <c r="K837" s="2"/>
      <c r="L837" s="2" t="s">
        <v>806</v>
      </c>
    </row>
    <row r="838" customFormat="false" ht="13.35" hidden="false" customHeight="true" outlineLevel="0" collapsed="false">
      <c r="A838" s="5" t="str">
        <f aca="false">HYPERLINK("https://www.fabsurplus.com/sdi_catalog/salesItemDetails.do?id=94456")</f>
        <v>https://www.fabsurplus.com/sdi_catalog/salesItemDetails.do?id=94456</v>
      </c>
      <c r="B838" s="5" t="s">
        <v>2298</v>
      </c>
      <c r="C838" s="5" t="s">
        <v>2273</v>
      </c>
      <c r="D838" s="5" t="s">
        <v>2294</v>
      </c>
      <c r="E838" s="5" t="s">
        <v>2299</v>
      </c>
      <c r="F838" s="5" t="s">
        <v>16</v>
      </c>
      <c r="G838" s="5" t="s">
        <v>17</v>
      </c>
      <c r="H838" s="5"/>
      <c r="I838" s="6" t="n">
        <v>38139</v>
      </c>
      <c r="J838" s="5" t="s">
        <v>19</v>
      </c>
      <c r="K838" s="5"/>
      <c r="L838" s="5" t="s">
        <v>806</v>
      </c>
    </row>
    <row r="839" customFormat="false" ht="13.35" hidden="false" customHeight="true" outlineLevel="0" collapsed="false">
      <c r="A839" s="5" t="str">
        <f aca="false">HYPERLINK("https://www.fabsurplus.com/sdi_catalog/salesItemDetails.do?id=93116")</f>
        <v>https://www.fabsurplus.com/sdi_catalog/salesItemDetails.do?id=93116</v>
      </c>
      <c r="B839" s="5" t="s">
        <v>2300</v>
      </c>
      <c r="C839" s="5" t="s">
        <v>2273</v>
      </c>
      <c r="D839" s="5" t="s">
        <v>2301</v>
      </c>
      <c r="E839" s="5" t="s">
        <v>2302</v>
      </c>
      <c r="F839" s="5" t="s">
        <v>16</v>
      </c>
      <c r="G839" s="5" t="s">
        <v>36</v>
      </c>
      <c r="H839" s="5"/>
      <c r="I839" s="5"/>
      <c r="J839" s="5" t="s">
        <v>19</v>
      </c>
      <c r="K839" s="5"/>
      <c r="L839" s="5" t="s">
        <v>112</v>
      </c>
    </row>
    <row r="840" customFormat="false" ht="13.35" hidden="false" customHeight="true" outlineLevel="0" collapsed="false">
      <c r="A840" s="2" t="str">
        <f aca="false">HYPERLINK("https://www.fabsurplus.com/sdi_catalog/salesItemDetails.do?id=101618")</f>
        <v>https://www.fabsurplus.com/sdi_catalog/salesItemDetails.do?id=101618</v>
      </c>
      <c r="B840" s="2" t="s">
        <v>2303</v>
      </c>
      <c r="C840" s="2" t="s">
        <v>2273</v>
      </c>
      <c r="D840" s="2" t="s">
        <v>2304</v>
      </c>
      <c r="E840" s="2" t="s">
        <v>2305</v>
      </c>
      <c r="F840" s="2" t="s">
        <v>16</v>
      </c>
      <c r="G840" s="2" t="s">
        <v>17</v>
      </c>
      <c r="H840" s="2"/>
      <c r="I840" s="2"/>
      <c r="J840" s="2" t="s">
        <v>19</v>
      </c>
      <c r="K840" s="2"/>
      <c r="L840" s="2"/>
    </row>
    <row r="841" customFormat="false" ht="13.35" hidden="false" customHeight="true" outlineLevel="0" collapsed="false">
      <c r="A841" s="2" t="str">
        <f aca="false">HYPERLINK("https://www.fabsurplus.com/sdi_catalog/salesItemDetails.do?id=101619")</f>
        <v>https://www.fabsurplus.com/sdi_catalog/salesItemDetails.do?id=101619</v>
      </c>
      <c r="B841" s="2" t="s">
        <v>2306</v>
      </c>
      <c r="C841" s="2" t="s">
        <v>2273</v>
      </c>
      <c r="D841" s="2" t="s">
        <v>2304</v>
      </c>
      <c r="E841" s="2" t="s">
        <v>2305</v>
      </c>
      <c r="F841" s="2" t="s">
        <v>16</v>
      </c>
      <c r="G841" s="2" t="s">
        <v>17</v>
      </c>
      <c r="H841" s="2"/>
      <c r="I841" s="2"/>
      <c r="J841" s="2" t="s">
        <v>19</v>
      </c>
      <c r="K841" s="2"/>
      <c r="L841" s="2"/>
    </row>
    <row r="842" customFormat="false" ht="13.35" hidden="false" customHeight="true" outlineLevel="0" collapsed="false">
      <c r="A842" s="5" t="str">
        <f aca="false">HYPERLINK("https://www.fabsurplus.com/sdi_catalog/salesItemDetails.do?id=102179")</f>
        <v>https://www.fabsurplus.com/sdi_catalog/salesItemDetails.do?id=102179</v>
      </c>
      <c r="B842" s="5" t="s">
        <v>2307</v>
      </c>
      <c r="C842" s="5" t="s">
        <v>2273</v>
      </c>
      <c r="D842" s="5" t="s">
        <v>2308</v>
      </c>
      <c r="E842" s="5" t="s">
        <v>2309</v>
      </c>
      <c r="F842" s="5" t="s">
        <v>16</v>
      </c>
      <c r="G842" s="5" t="s">
        <v>17</v>
      </c>
      <c r="H842" s="5"/>
      <c r="I842" s="6" t="n">
        <v>39234</v>
      </c>
      <c r="J842" s="5" t="s">
        <v>19</v>
      </c>
      <c r="K842" s="5"/>
      <c r="L842" s="5"/>
    </row>
    <row r="843" customFormat="false" ht="13.35" hidden="false" customHeight="true" outlineLevel="0" collapsed="false">
      <c r="A843" s="5" t="str">
        <f aca="false">HYPERLINK("https://www.fabsurplus.com/sdi_catalog/salesItemDetails.do?id=78776")</f>
        <v>https://www.fabsurplus.com/sdi_catalog/salesItemDetails.do?id=78776</v>
      </c>
      <c r="B843" s="5" t="s">
        <v>2310</v>
      </c>
      <c r="C843" s="5" t="s">
        <v>2273</v>
      </c>
      <c r="D843" s="5" t="s">
        <v>2311</v>
      </c>
      <c r="E843" s="5" t="s">
        <v>2312</v>
      </c>
      <c r="F843" s="5" t="s">
        <v>16</v>
      </c>
      <c r="G843" s="5" t="s">
        <v>663</v>
      </c>
      <c r="H843" s="5"/>
      <c r="I843" s="6" t="n">
        <v>39234</v>
      </c>
      <c r="J843" s="5" t="s">
        <v>19</v>
      </c>
      <c r="K843" s="5"/>
      <c r="L843" s="5" t="s">
        <v>2313</v>
      </c>
    </row>
    <row r="844" customFormat="false" ht="13.35" hidden="false" customHeight="true" outlineLevel="0" collapsed="false">
      <c r="A844" s="5" t="str">
        <f aca="false">HYPERLINK("https://www.fabsurplus.com/sdi_catalog/salesItemDetails.do?id=79044")</f>
        <v>https://www.fabsurplus.com/sdi_catalog/salesItemDetails.do?id=79044</v>
      </c>
      <c r="B844" s="5" t="s">
        <v>2314</v>
      </c>
      <c r="C844" s="5" t="s">
        <v>2273</v>
      </c>
      <c r="D844" s="5" t="s">
        <v>2311</v>
      </c>
      <c r="E844" s="5" t="s">
        <v>2315</v>
      </c>
      <c r="F844" s="5" t="s">
        <v>16</v>
      </c>
      <c r="G844" s="5" t="s">
        <v>658</v>
      </c>
      <c r="H844" s="5"/>
      <c r="I844" s="5"/>
      <c r="J844" s="5" t="s">
        <v>19</v>
      </c>
      <c r="K844" s="5"/>
      <c r="L844" s="5" t="s">
        <v>198</v>
      </c>
    </row>
    <row r="845" customFormat="false" ht="13.35" hidden="false" customHeight="true" outlineLevel="0" collapsed="false">
      <c r="A845" s="2" t="str">
        <f aca="false">HYPERLINK("https://www.fabsurplus.com/sdi_catalog/salesItemDetails.do?id=103082")</f>
        <v>https://www.fabsurplus.com/sdi_catalog/salesItemDetails.do?id=103082</v>
      </c>
      <c r="B845" s="2" t="s">
        <v>2316</v>
      </c>
      <c r="C845" s="2" t="s">
        <v>2273</v>
      </c>
      <c r="D845" s="2" t="s">
        <v>2317</v>
      </c>
      <c r="E845" s="2" t="s">
        <v>2318</v>
      </c>
      <c r="F845" s="2" t="s">
        <v>16</v>
      </c>
      <c r="G845" s="2" t="s">
        <v>658</v>
      </c>
      <c r="H845" s="2"/>
      <c r="I845" s="2"/>
      <c r="J845" s="2" t="s">
        <v>19</v>
      </c>
      <c r="K845" s="2"/>
      <c r="L845" s="2" t="s">
        <v>2319</v>
      </c>
    </row>
    <row r="846" customFormat="false" ht="13.35" hidden="false" customHeight="true" outlineLevel="0" collapsed="false">
      <c r="A846" s="5" t="str">
        <f aca="false">HYPERLINK("https://www.fabsurplus.com/sdi_catalog/salesItemDetails.do?id=103083")</f>
        <v>https://www.fabsurplus.com/sdi_catalog/salesItemDetails.do?id=103083</v>
      </c>
      <c r="B846" s="5" t="s">
        <v>2320</v>
      </c>
      <c r="C846" s="5" t="s">
        <v>2273</v>
      </c>
      <c r="D846" s="5" t="s">
        <v>2317</v>
      </c>
      <c r="E846" s="5" t="s">
        <v>2318</v>
      </c>
      <c r="F846" s="5" t="s">
        <v>16</v>
      </c>
      <c r="G846" s="5" t="s">
        <v>658</v>
      </c>
      <c r="H846" s="5"/>
      <c r="I846" s="5"/>
      <c r="J846" s="5" t="s">
        <v>19</v>
      </c>
      <c r="K846" s="5"/>
      <c r="L846" s="5" t="s">
        <v>2319</v>
      </c>
    </row>
    <row r="847" customFormat="false" ht="13.35" hidden="false" customHeight="true" outlineLevel="0" collapsed="false">
      <c r="A847" s="2" t="str">
        <f aca="false">HYPERLINK("https://www.fabsurplus.com/sdi_catalog/salesItemDetails.do?id=94457")</f>
        <v>https://www.fabsurplus.com/sdi_catalog/salesItemDetails.do?id=94457</v>
      </c>
      <c r="B847" s="2" t="s">
        <v>2321</v>
      </c>
      <c r="C847" s="2" t="s">
        <v>2273</v>
      </c>
      <c r="D847" s="2" t="s">
        <v>2322</v>
      </c>
      <c r="E847" s="2" t="s">
        <v>2323</v>
      </c>
      <c r="F847" s="2" t="s">
        <v>16</v>
      </c>
      <c r="G847" s="2" t="s">
        <v>36</v>
      </c>
      <c r="H847" s="2"/>
      <c r="I847" s="2"/>
      <c r="J847" s="2" t="s">
        <v>19</v>
      </c>
      <c r="K847" s="2"/>
      <c r="L847" s="2"/>
    </row>
    <row r="848" customFormat="false" ht="13.35" hidden="false" customHeight="true" outlineLevel="0" collapsed="false">
      <c r="A848" s="2" t="str">
        <f aca="false">HYPERLINK("https://www.fabsurplus.com/sdi_catalog/salesItemDetails.do?id=102991")</f>
        <v>https://www.fabsurplus.com/sdi_catalog/salesItemDetails.do?id=102991</v>
      </c>
      <c r="B848" s="2" t="s">
        <v>2324</v>
      </c>
      <c r="C848" s="2" t="s">
        <v>2273</v>
      </c>
      <c r="D848" s="2" t="s">
        <v>2325</v>
      </c>
      <c r="E848" s="2" t="s">
        <v>2326</v>
      </c>
      <c r="F848" s="2" t="s">
        <v>16</v>
      </c>
      <c r="G848" s="2"/>
      <c r="H848" s="2" t="s">
        <v>26</v>
      </c>
      <c r="I848" s="3" t="n">
        <v>41640</v>
      </c>
      <c r="J848" s="2" t="s">
        <v>19</v>
      </c>
      <c r="K848" s="2"/>
      <c r="L848" s="2" t="s">
        <v>2254</v>
      </c>
    </row>
    <row r="849" customFormat="false" ht="13.35" hidden="false" customHeight="true" outlineLevel="0" collapsed="false">
      <c r="A849" s="5" t="str">
        <f aca="false">HYPERLINK("https://www.fabsurplus.com/sdi_catalog/salesItemDetails.do?id=102954")</f>
        <v>https://www.fabsurplus.com/sdi_catalog/salesItemDetails.do?id=102954</v>
      </c>
      <c r="B849" s="5" t="s">
        <v>2327</v>
      </c>
      <c r="C849" s="5" t="s">
        <v>2273</v>
      </c>
      <c r="D849" s="5" t="s">
        <v>2328</v>
      </c>
      <c r="E849" s="5" t="s">
        <v>2329</v>
      </c>
      <c r="F849" s="5" t="s">
        <v>16</v>
      </c>
      <c r="G849" s="5" t="s">
        <v>17</v>
      </c>
      <c r="H849" s="5"/>
      <c r="I849" s="6" t="n">
        <v>38869</v>
      </c>
      <c r="J849" s="5" t="s">
        <v>19</v>
      </c>
      <c r="K849" s="5"/>
      <c r="L849" s="5"/>
    </row>
    <row r="850" customFormat="false" ht="13.35" hidden="false" customHeight="true" outlineLevel="0" collapsed="false">
      <c r="A850" s="5" t="str">
        <f aca="false">HYPERLINK("https://www.fabsurplus.com/sdi_catalog/salesItemDetails.do?id=102955")</f>
        <v>https://www.fabsurplus.com/sdi_catalog/salesItemDetails.do?id=102955</v>
      </c>
      <c r="B850" s="5" t="s">
        <v>2330</v>
      </c>
      <c r="C850" s="5" t="s">
        <v>2273</v>
      </c>
      <c r="D850" s="5" t="s">
        <v>2328</v>
      </c>
      <c r="E850" s="5" t="s">
        <v>2329</v>
      </c>
      <c r="F850" s="5" t="s">
        <v>16</v>
      </c>
      <c r="G850" s="5" t="s">
        <v>17</v>
      </c>
      <c r="H850" s="5"/>
      <c r="I850" s="6" t="n">
        <v>39234</v>
      </c>
      <c r="J850" s="5" t="s">
        <v>19</v>
      </c>
      <c r="K850" s="5"/>
      <c r="L850" s="5"/>
    </row>
    <row r="851" customFormat="false" ht="13.35" hidden="false" customHeight="true" outlineLevel="0" collapsed="false">
      <c r="A851" s="5" t="str">
        <f aca="false">HYPERLINK("https://www.fabsurplus.com/sdi_catalog/salesItemDetails.do?id=101795")</f>
        <v>https://www.fabsurplus.com/sdi_catalog/salesItemDetails.do?id=101795</v>
      </c>
      <c r="B851" s="5" t="s">
        <v>2331</v>
      </c>
      <c r="C851" s="5" t="s">
        <v>2273</v>
      </c>
      <c r="D851" s="5" t="s">
        <v>2332</v>
      </c>
      <c r="E851" s="5" t="s">
        <v>2333</v>
      </c>
      <c r="F851" s="5" t="s">
        <v>16</v>
      </c>
      <c r="G851" s="5" t="s">
        <v>36</v>
      </c>
      <c r="H851" s="5"/>
      <c r="I851" s="5"/>
      <c r="J851" s="5" t="s">
        <v>47</v>
      </c>
      <c r="K851" s="5"/>
      <c r="L851" s="5"/>
    </row>
    <row r="852" customFormat="false" ht="13.35" hidden="false" customHeight="true" outlineLevel="0" collapsed="false">
      <c r="A852" s="5" t="str">
        <f aca="false">HYPERLINK("https://www.fabsurplus.com/sdi_catalog/salesItemDetails.do?id=102690")</f>
        <v>https://www.fabsurplus.com/sdi_catalog/salesItemDetails.do?id=102690</v>
      </c>
      <c r="B852" s="5" t="s">
        <v>2334</v>
      </c>
      <c r="C852" s="5" t="s">
        <v>2273</v>
      </c>
      <c r="D852" s="5" t="s">
        <v>2335</v>
      </c>
      <c r="E852" s="5" t="s">
        <v>2336</v>
      </c>
      <c r="F852" s="5" t="s">
        <v>16</v>
      </c>
      <c r="G852" s="5" t="s">
        <v>862</v>
      </c>
      <c r="H852" s="5"/>
      <c r="I852" s="6" t="n">
        <v>35947</v>
      </c>
      <c r="J852" s="5" t="s">
        <v>19</v>
      </c>
      <c r="K852" s="5"/>
      <c r="L852" s="7" t="s">
        <v>2337</v>
      </c>
    </row>
    <row r="853" customFormat="false" ht="13.35" hidden="false" customHeight="true" outlineLevel="0" collapsed="false">
      <c r="A853" s="2" t="str">
        <f aca="false">HYPERLINK("https://www.fabsurplus.com/sdi_catalog/salesItemDetails.do?id=102691")</f>
        <v>https://www.fabsurplus.com/sdi_catalog/salesItemDetails.do?id=102691</v>
      </c>
      <c r="B853" s="2" t="s">
        <v>2338</v>
      </c>
      <c r="C853" s="2" t="s">
        <v>2273</v>
      </c>
      <c r="D853" s="2" t="s">
        <v>2335</v>
      </c>
      <c r="E853" s="2" t="s">
        <v>2336</v>
      </c>
      <c r="F853" s="2" t="s">
        <v>16</v>
      </c>
      <c r="G853" s="2" t="s">
        <v>862</v>
      </c>
      <c r="H853" s="2"/>
      <c r="I853" s="3" t="n">
        <v>35947</v>
      </c>
      <c r="J853" s="2" t="s">
        <v>19</v>
      </c>
      <c r="K853" s="2"/>
      <c r="L853" s="4" t="s">
        <v>2339</v>
      </c>
    </row>
    <row r="854" customFormat="false" ht="13.35" hidden="false" customHeight="true" outlineLevel="0" collapsed="false">
      <c r="A854" s="5" t="str">
        <f aca="false">HYPERLINK("https://www.fabsurplus.com/sdi_catalog/salesItemDetails.do?id=101796")</f>
        <v>https://www.fabsurplus.com/sdi_catalog/salesItemDetails.do?id=101796</v>
      </c>
      <c r="B854" s="5" t="s">
        <v>2340</v>
      </c>
      <c r="C854" s="5" t="s">
        <v>2273</v>
      </c>
      <c r="D854" s="5" t="s">
        <v>2341</v>
      </c>
      <c r="E854" s="5" t="s">
        <v>2342</v>
      </c>
      <c r="F854" s="5" t="s">
        <v>16</v>
      </c>
      <c r="G854" s="5" t="s">
        <v>36</v>
      </c>
      <c r="H854" s="5"/>
      <c r="I854" s="5"/>
      <c r="J854" s="5" t="s">
        <v>47</v>
      </c>
      <c r="K854" s="5"/>
      <c r="L854" s="5"/>
    </row>
    <row r="855" customFormat="false" ht="13.35" hidden="false" customHeight="true" outlineLevel="0" collapsed="false">
      <c r="A855" s="5" t="str">
        <f aca="false">HYPERLINK("https://www.fabsurplus.com/sdi_catalog/salesItemDetails.do?id=101797")</f>
        <v>https://www.fabsurplus.com/sdi_catalog/salesItemDetails.do?id=101797</v>
      </c>
      <c r="B855" s="5" t="s">
        <v>2343</v>
      </c>
      <c r="C855" s="5" t="s">
        <v>2273</v>
      </c>
      <c r="D855" s="5" t="s">
        <v>2344</v>
      </c>
      <c r="E855" s="5" t="s">
        <v>2345</v>
      </c>
      <c r="F855" s="5" t="s">
        <v>16</v>
      </c>
      <c r="G855" s="5" t="s">
        <v>36</v>
      </c>
      <c r="H855" s="5"/>
      <c r="I855" s="5"/>
      <c r="J855" s="5" t="s">
        <v>47</v>
      </c>
      <c r="K855" s="5"/>
      <c r="L855" s="5"/>
    </row>
    <row r="856" customFormat="false" ht="13.35" hidden="false" customHeight="true" outlineLevel="0" collapsed="false">
      <c r="A856" s="2" t="str">
        <f aca="false">HYPERLINK("https://www.fabsurplus.com/sdi_catalog/salesItemDetails.do?id=91577")</f>
        <v>https://www.fabsurplus.com/sdi_catalog/salesItemDetails.do?id=91577</v>
      </c>
      <c r="B856" s="2" t="s">
        <v>2346</v>
      </c>
      <c r="C856" s="2" t="s">
        <v>2273</v>
      </c>
      <c r="D856" s="2" t="s">
        <v>2347</v>
      </c>
      <c r="E856" s="2" t="s">
        <v>2348</v>
      </c>
      <c r="F856" s="2" t="s">
        <v>16</v>
      </c>
      <c r="G856" s="2" t="s">
        <v>36</v>
      </c>
      <c r="H856" s="2"/>
      <c r="I856" s="3" t="n">
        <v>37773</v>
      </c>
      <c r="J856" s="2" t="s">
        <v>19</v>
      </c>
      <c r="K856" s="2"/>
      <c r="L856" s="2" t="s">
        <v>112</v>
      </c>
    </row>
    <row r="857" customFormat="false" ht="13.35" hidden="false" customHeight="true" outlineLevel="0" collapsed="false">
      <c r="A857" s="5" t="str">
        <f aca="false">HYPERLINK("https://www.fabsurplus.com/sdi_catalog/salesItemDetails.do?id=101798")</f>
        <v>https://www.fabsurplus.com/sdi_catalog/salesItemDetails.do?id=101798</v>
      </c>
      <c r="B857" s="5" t="s">
        <v>2349</v>
      </c>
      <c r="C857" s="5" t="s">
        <v>2273</v>
      </c>
      <c r="D857" s="5" t="s">
        <v>2350</v>
      </c>
      <c r="E857" s="5" t="s">
        <v>2351</v>
      </c>
      <c r="F857" s="5" t="s">
        <v>16</v>
      </c>
      <c r="G857" s="5" t="s">
        <v>36</v>
      </c>
      <c r="H857" s="5"/>
      <c r="I857" s="5"/>
      <c r="J857" s="5" t="s">
        <v>47</v>
      </c>
      <c r="K857" s="5"/>
      <c r="L857" s="5"/>
    </row>
    <row r="858" customFormat="false" ht="13.35" hidden="false" customHeight="true" outlineLevel="0" collapsed="false">
      <c r="A858" s="5" t="str">
        <f aca="false">HYPERLINK("https://www.fabsurplus.com/sdi_catalog/salesItemDetails.do?id=98459")</f>
        <v>https://www.fabsurplus.com/sdi_catalog/salesItemDetails.do?id=98459</v>
      </c>
      <c r="B858" s="5" t="s">
        <v>2352</v>
      </c>
      <c r="C858" s="5" t="s">
        <v>2273</v>
      </c>
      <c r="D858" s="5" t="s">
        <v>2353</v>
      </c>
      <c r="E858" s="5" t="s">
        <v>2354</v>
      </c>
      <c r="F858" s="5" t="s">
        <v>125</v>
      </c>
      <c r="G858" s="5" t="s">
        <v>862</v>
      </c>
      <c r="H858" s="5"/>
      <c r="I858" s="5"/>
      <c r="J858" s="5" t="s">
        <v>19</v>
      </c>
      <c r="K858" s="5"/>
      <c r="L858" s="5" t="s">
        <v>1417</v>
      </c>
    </row>
    <row r="859" customFormat="false" ht="13.35" hidden="false" customHeight="true" outlineLevel="0" collapsed="false">
      <c r="A859" s="2" t="str">
        <f aca="false">HYPERLINK("https://www.fabsurplus.com/sdi_catalog/salesItemDetails.do?id=93076")</f>
        <v>https://www.fabsurplus.com/sdi_catalog/salesItemDetails.do?id=93076</v>
      </c>
      <c r="B859" s="2" t="s">
        <v>2355</v>
      </c>
      <c r="C859" s="2" t="s">
        <v>2273</v>
      </c>
      <c r="D859" s="2" t="s">
        <v>2356</v>
      </c>
      <c r="E859" s="2" t="s">
        <v>2357</v>
      </c>
      <c r="F859" s="2" t="s">
        <v>16</v>
      </c>
      <c r="G859" s="2" t="s">
        <v>36</v>
      </c>
      <c r="H859" s="2"/>
      <c r="I859" s="3" t="n">
        <v>35582</v>
      </c>
      <c r="J859" s="2" t="s">
        <v>19</v>
      </c>
      <c r="K859" s="2"/>
      <c r="L859" s="2" t="s">
        <v>112</v>
      </c>
    </row>
    <row r="860" customFormat="false" ht="13.35" hidden="false" customHeight="true" outlineLevel="0" collapsed="false">
      <c r="A860" s="5" t="str">
        <f aca="false">HYPERLINK("https://www.fabsurplus.com/sdi_catalog/salesItemDetails.do?id=93077")</f>
        <v>https://www.fabsurplus.com/sdi_catalog/salesItemDetails.do?id=93077</v>
      </c>
      <c r="B860" s="5" t="s">
        <v>2358</v>
      </c>
      <c r="C860" s="5" t="s">
        <v>2273</v>
      </c>
      <c r="D860" s="5" t="s">
        <v>2359</v>
      </c>
      <c r="E860" s="5" t="s">
        <v>2360</v>
      </c>
      <c r="F860" s="5" t="s">
        <v>16</v>
      </c>
      <c r="G860" s="5" t="s">
        <v>36</v>
      </c>
      <c r="H860" s="5"/>
      <c r="I860" s="6" t="n">
        <v>35582</v>
      </c>
      <c r="J860" s="5" t="s">
        <v>19</v>
      </c>
      <c r="K860" s="5"/>
      <c r="L860" s="5" t="s">
        <v>112</v>
      </c>
    </row>
    <row r="861" customFormat="false" ht="13.35" hidden="false" customHeight="true" outlineLevel="0" collapsed="false">
      <c r="A861" s="2" t="str">
        <f aca="false">HYPERLINK("https://www.fabsurplus.com/sdi_catalog/salesItemDetails.do?id=91580")</f>
        <v>https://www.fabsurplus.com/sdi_catalog/salesItemDetails.do?id=91580</v>
      </c>
      <c r="B861" s="2" t="s">
        <v>2361</v>
      </c>
      <c r="C861" s="2" t="s">
        <v>2273</v>
      </c>
      <c r="D861" s="2" t="s">
        <v>2362</v>
      </c>
      <c r="E861" s="2" t="s">
        <v>2363</v>
      </c>
      <c r="F861" s="2" t="s">
        <v>16</v>
      </c>
      <c r="G861" s="2" t="s">
        <v>36</v>
      </c>
      <c r="H861" s="2"/>
      <c r="I861" s="3" t="n">
        <v>35217</v>
      </c>
      <c r="J861" s="2" t="s">
        <v>19</v>
      </c>
      <c r="K861" s="2"/>
      <c r="L861" s="2" t="s">
        <v>112</v>
      </c>
    </row>
    <row r="862" customFormat="false" ht="13.35" hidden="false" customHeight="true" outlineLevel="0" collapsed="false">
      <c r="A862" s="2" t="str">
        <f aca="false">HYPERLINK("https://www.fabsurplus.com/sdi_catalog/salesItemDetails.do?id=91581")</f>
        <v>https://www.fabsurplus.com/sdi_catalog/salesItemDetails.do?id=91581</v>
      </c>
      <c r="B862" s="2" t="s">
        <v>2364</v>
      </c>
      <c r="C862" s="2" t="s">
        <v>2273</v>
      </c>
      <c r="D862" s="2" t="s">
        <v>2365</v>
      </c>
      <c r="E862" s="2" t="s">
        <v>2366</v>
      </c>
      <c r="F862" s="2" t="s">
        <v>16</v>
      </c>
      <c r="G862" s="2" t="s">
        <v>36</v>
      </c>
      <c r="H862" s="2"/>
      <c r="I862" s="3" t="n">
        <v>34851</v>
      </c>
      <c r="J862" s="2" t="s">
        <v>19</v>
      </c>
      <c r="K862" s="2"/>
      <c r="L862" s="2" t="s">
        <v>112</v>
      </c>
    </row>
    <row r="863" customFormat="false" ht="13.35" hidden="false" customHeight="true" outlineLevel="0" collapsed="false">
      <c r="A863" s="2" t="str">
        <f aca="false">HYPERLINK("https://www.fabsurplus.com/sdi_catalog/salesItemDetails.do?id=91582")</f>
        <v>https://www.fabsurplus.com/sdi_catalog/salesItemDetails.do?id=91582</v>
      </c>
      <c r="B863" s="2" t="s">
        <v>2367</v>
      </c>
      <c r="C863" s="2" t="s">
        <v>2273</v>
      </c>
      <c r="D863" s="2" t="s">
        <v>2368</v>
      </c>
      <c r="E863" s="2" t="s">
        <v>2369</v>
      </c>
      <c r="F863" s="2" t="s">
        <v>16</v>
      </c>
      <c r="G863" s="2" t="s">
        <v>36</v>
      </c>
      <c r="H863" s="2"/>
      <c r="I863" s="3" t="n">
        <v>35217</v>
      </c>
      <c r="J863" s="2" t="s">
        <v>19</v>
      </c>
      <c r="K863" s="2"/>
      <c r="L863" s="2" t="s">
        <v>112</v>
      </c>
    </row>
    <row r="864" customFormat="false" ht="13.35" hidden="false" customHeight="true" outlineLevel="0" collapsed="false">
      <c r="A864" s="2" t="str">
        <f aca="false">HYPERLINK("https://www.fabsurplus.com/sdi_catalog/salesItemDetails.do?id=102873")</f>
        <v>https://www.fabsurplus.com/sdi_catalog/salesItemDetails.do?id=102873</v>
      </c>
      <c r="B864" s="2" t="s">
        <v>2370</v>
      </c>
      <c r="C864" s="2" t="s">
        <v>2273</v>
      </c>
      <c r="D864" s="2" t="s">
        <v>2368</v>
      </c>
      <c r="E864" s="2" t="s">
        <v>2371</v>
      </c>
      <c r="F864" s="2" t="s">
        <v>16</v>
      </c>
      <c r="G864" s="2" t="s">
        <v>36</v>
      </c>
      <c r="H864" s="2"/>
      <c r="I864" s="2"/>
      <c r="J864" s="2" t="s">
        <v>19</v>
      </c>
      <c r="K864" s="2"/>
      <c r="L864" s="2" t="s">
        <v>2372</v>
      </c>
    </row>
    <row r="865" customFormat="false" ht="13.35" hidden="false" customHeight="true" outlineLevel="0" collapsed="false">
      <c r="A865" s="2" t="str">
        <f aca="false">HYPERLINK("https://www.fabsurplus.com/sdi_catalog/salesItemDetails.do?id=91583")</f>
        <v>https://www.fabsurplus.com/sdi_catalog/salesItemDetails.do?id=91583</v>
      </c>
      <c r="B865" s="2" t="s">
        <v>2373</v>
      </c>
      <c r="C865" s="2" t="s">
        <v>2273</v>
      </c>
      <c r="D865" s="2" t="s">
        <v>2374</v>
      </c>
      <c r="E865" s="2" t="s">
        <v>2375</v>
      </c>
      <c r="F865" s="2" t="s">
        <v>16</v>
      </c>
      <c r="G865" s="2" t="s">
        <v>493</v>
      </c>
      <c r="H865" s="2" t="s">
        <v>26</v>
      </c>
      <c r="I865" s="3" t="n">
        <v>39600</v>
      </c>
      <c r="J865" s="2" t="s">
        <v>19</v>
      </c>
      <c r="K865" s="2" t="s">
        <v>20</v>
      </c>
      <c r="L865" s="2" t="s">
        <v>112</v>
      </c>
    </row>
    <row r="866" customFormat="false" ht="13.35" hidden="false" customHeight="true" outlineLevel="0" collapsed="false">
      <c r="A866" s="2" t="str">
        <f aca="false">HYPERLINK("https://www.fabsurplus.com/sdi_catalog/salesItemDetails.do?id=91584")</f>
        <v>https://www.fabsurplus.com/sdi_catalog/salesItemDetails.do?id=91584</v>
      </c>
      <c r="B866" s="2" t="s">
        <v>2376</v>
      </c>
      <c r="C866" s="2" t="s">
        <v>2273</v>
      </c>
      <c r="D866" s="2" t="s">
        <v>2377</v>
      </c>
      <c r="E866" s="2" t="s">
        <v>2375</v>
      </c>
      <c r="F866" s="2" t="s">
        <v>16</v>
      </c>
      <c r="G866" s="2" t="s">
        <v>493</v>
      </c>
      <c r="H866" s="2"/>
      <c r="I866" s="3" t="n">
        <v>35947</v>
      </c>
      <c r="J866" s="2" t="s">
        <v>19</v>
      </c>
      <c r="K866" s="2"/>
      <c r="L866" s="2" t="s">
        <v>112</v>
      </c>
    </row>
    <row r="867" customFormat="false" ht="13.35" hidden="false" customHeight="true" outlineLevel="0" collapsed="false">
      <c r="A867" s="2" t="str">
        <f aca="false">HYPERLINK("https://www.fabsurplus.com/sdi_catalog/salesItemDetails.do?id=91585")</f>
        <v>https://www.fabsurplus.com/sdi_catalog/salesItemDetails.do?id=91585</v>
      </c>
      <c r="B867" s="2" t="s">
        <v>2378</v>
      </c>
      <c r="C867" s="2" t="s">
        <v>2273</v>
      </c>
      <c r="D867" s="2" t="s">
        <v>2379</v>
      </c>
      <c r="E867" s="2" t="s">
        <v>2380</v>
      </c>
      <c r="F867" s="2" t="s">
        <v>16</v>
      </c>
      <c r="G867" s="2" t="s">
        <v>36</v>
      </c>
      <c r="H867" s="2"/>
      <c r="I867" s="3" t="n">
        <v>35582</v>
      </c>
      <c r="J867" s="2" t="s">
        <v>19</v>
      </c>
      <c r="K867" s="2"/>
      <c r="L867" s="2" t="s">
        <v>112</v>
      </c>
    </row>
    <row r="868" customFormat="false" ht="13.35" hidden="false" customHeight="true" outlineLevel="0" collapsed="false">
      <c r="A868" s="5" t="str">
        <f aca="false">HYPERLINK("https://www.fabsurplus.com/sdi_catalog/salesItemDetails.do?id=93075")</f>
        <v>https://www.fabsurplus.com/sdi_catalog/salesItemDetails.do?id=93075</v>
      </c>
      <c r="B868" s="5" t="s">
        <v>2381</v>
      </c>
      <c r="C868" s="5" t="s">
        <v>2273</v>
      </c>
      <c r="D868" s="5" t="s">
        <v>2382</v>
      </c>
      <c r="E868" s="5" t="s">
        <v>2383</v>
      </c>
      <c r="F868" s="5" t="s">
        <v>16</v>
      </c>
      <c r="G868" s="5" t="s">
        <v>36</v>
      </c>
      <c r="H868" s="5"/>
      <c r="I868" s="6" t="n">
        <v>35217</v>
      </c>
      <c r="J868" s="5" t="s">
        <v>19</v>
      </c>
      <c r="K868" s="5"/>
      <c r="L868" s="5" t="s">
        <v>112</v>
      </c>
    </row>
    <row r="869" customFormat="false" ht="13.35" hidden="false" customHeight="true" outlineLevel="0" collapsed="false">
      <c r="A869" s="5" t="str">
        <f aca="false">HYPERLINK("https://www.fabsurplus.com/sdi_catalog/salesItemDetails.do?id=102874")</f>
        <v>https://www.fabsurplus.com/sdi_catalog/salesItemDetails.do?id=102874</v>
      </c>
      <c r="B869" s="5" t="s">
        <v>2384</v>
      </c>
      <c r="C869" s="5" t="s">
        <v>2273</v>
      </c>
      <c r="D869" s="5" t="s">
        <v>2382</v>
      </c>
      <c r="E869" s="5" t="s">
        <v>2385</v>
      </c>
      <c r="F869" s="5" t="s">
        <v>16</v>
      </c>
      <c r="G869" s="5" t="s">
        <v>36</v>
      </c>
      <c r="H869" s="5"/>
      <c r="I869" s="5"/>
      <c r="J869" s="5" t="s">
        <v>19</v>
      </c>
      <c r="K869" s="5"/>
      <c r="L869" s="5" t="s">
        <v>2386</v>
      </c>
    </row>
    <row r="870" customFormat="false" ht="13.35" hidden="false" customHeight="true" outlineLevel="0" collapsed="false">
      <c r="A870" s="2" t="str">
        <f aca="false">HYPERLINK("https://www.fabsurplus.com/sdi_catalog/salesItemDetails.do?id=91587")</f>
        <v>https://www.fabsurplus.com/sdi_catalog/salesItemDetails.do?id=91587</v>
      </c>
      <c r="B870" s="2" t="s">
        <v>2387</v>
      </c>
      <c r="C870" s="2" t="s">
        <v>2273</v>
      </c>
      <c r="D870" s="2" t="s">
        <v>2388</v>
      </c>
      <c r="E870" s="2" t="s">
        <v>2389</v>
      </c>
      <c r="F870" s="2" t="s">
        <v>16</v>
      </c>
      <c r="G870" s="2" t="s">
        <v>36</v>
      </c>
      <c r="H870" s="2"/>
      <c r="I870" s="3" t="n">
        <v>34121</v>
      </c>
      <c r="J870" s="2" t="s">
        <v>19</v>
      </c>
      <c r="K870" s="2"/>
      <c r="L870" s="2" t="s">
        <v>112</v>
      </c>
    </row>
    <row r="871" customFormat="false" ht="13.35" hidden="false" customHeight="true" outlineLevel="0" collapsed="false">
      <c r="A871" s="2" t="str">
        <f aca="false">HYPERLINK("https://www.fabsurplus.com/sdi_catalog/salesItemDetails.do?id=102875")</f>
        <v>https://www.fabsurplus.com/sdi_catalog/salesItemDetails.do?id=102875</v>
      </c>
      <c r="B871" s="2" t="s">
        <v>2390</v>
      </c>
      <c r="C871" s="2" t="s">
        <v>2273</v>
      </c>
      <c r="D871" s="2" t="s">
        <v>2391</v>
      </c>
      <c r="E871" s="2" t="s">
        <v>2385</v>
      </c>
      <c r="F871" s="2" t="s">
        <v>16</v>
      </c>
      <c r="G871" s="2" t="s">
        <v>36</v>
      </c>
      <c r="H871" s="2"/>
      <c r="I871" s="2"/>
      <c r="J871" s="2" t="s">
        <v>19</v>
      </c>
      <c r="K871" s="2"/>
      <c r="L871" s="2" t="s">
        <v>2392</v>
      </c>
    </row>
    <row r="872" customFormat="false" ht="13.35" hidden="false" customHeight="true" outlineLevel="0" collapsed="false">
      <c r="A872" s="2" t="str">
        <f aca="false">HYPERLINK("https://www.fabsurplus.com/sdi_catalog/salesItemDetails.do?id=102876")</f>
        <v>https://www.fabsurplus.com/sdi_catalog/salesItemDetails.do?id=102876</v>
      </c>
      <c r="B872" s="2" t="s">
        <v>2393</v>
      </c>
      <c r="C872" s="2" t="s">
        <v>2273</v>
      </c>
      <c r="D872" s="2" t="s">
        <v>2391</v>
      </c>
      <c r="E872" s="2" t="s">
        <v>2385</v>
      </c>
      <c r="F872" s="2" t="s">
        <v>16</v>
      </c>
      <c r="G872" s="2" t="s">
        <v>36</v>
      </c>
      <c r="H872" s="2"/>
      <c r="I872" s="2"/>
      <c r="J872" s="2" t="s">
        <v>19</v>
      </c>
      <c r="K872" s="2"/>
      <c r="L872" s="2" t="s">
        <v>2392</v>
      </c>
    </row>
    <row r="873" customFormat="false" ht="13.35" hidden="false" customHeight="true" outlineLevel="0" collapsed="false">
      <c r="A873" s="5" t="str">
        <f aca="false">HYPERLINK("https://www.fabsurplus.com/sdi_catalog/salesItemDetails.do?id=91657")</f>
        <v>https://www.fabsurplus.com/sdi_catalog/salesItemDetails.do?id=91657</v>
      </c>
      <c r="B873" s="5" t="s">
        <v>2394</v>
      </c>
      <c r="C873" s="5" t="s">
        <v>2273</v>
      </c>
      <c r="D873" s="5" t="s">
        <v>2395</v>
      </c>
      <c r="E873" s="5" t="s">
        <v>2396</v>
      </c>
      <c r="F873" s="5" t="s">
        <v>16</v>
      </c>
      <c r="G873" s="5" t="s">
        <v>17</v>
      </c>
      <c r="H873" s="5"/>
      <c r="I873" s="6" t="n">
        <v>38504</v>
      </c>
      <c r="J873" s="5" t="s">
        <v>19</v>
      </c>
      <c r="K873" s="5"/>
      <c r="L873" s="5" t="s">
        <v>112</v>
      </c>
    </row>
    <row r="874" customFormat="false" ht="13.35" hidden="false" customHeight="true" outlineLevel="0" collapsed="false">
      <c r="A874" s="2" t="str">
        <f aca="false">HYPERLINK("https://www.fabsurplus.com/sdi_catalog/salesItemDetails.do?id=91658")</f>
        <v>https://www.fabsurplus.com/sdi_catalog/salesItemDetails.do?id=91658</v>
      </c>
      <c r="B874" s="2" t="s">
        <v>2397</v>
      </c>
      <c r="C874" s="2" t="s">
        <v>2273</v>
      </c>
      <c r="D874" s="2" t="s">
        <v>2395</v>
      </c>
      <c r="E874" s="2" t="s">
        <v>2396</v>
      </c>
      <c r="F874" s="2" t="s">
        <v>16</v>
      </c>
      <c r="G874" s="2" t="s">
        <v>17</v>
      </c>
      <c r="H874" s="2"/>
      <c r="I874" s="2"/>
      <c r="J874" s="2" t="s">
        <v>19</v>
      </c>
      <c r="K874" s="2"/>
      <c r="L874" s="2" t="s">
        <v>112</v>
      </c>
    </row>
    <row r="875" customFormat="false" ht="13.35" hidden="false" customHeight="true" outlineLevel="0" collapsed="false">
      <c r="A875" s="2" t="str">
        <f aca="false">HYPERLINK("https://www.fabsurplus.com/sdi_catalog/salesItemDetails.do?id=91660")</f>
        <v>https://www.fabsurplus.com/sdi_catalog/salesItemDetails.do?id=91660</v>
      </c>
      <c r="B875" s="2" t="s">
        <v>2398</v>
      </c>
      <c r="C875" s="2" t="s">
        <v>2273</v>
      </c>
      <c r="D875" s="2" t="s">
        <v>2395</v>
      </c>
      <c r="E875" s="2" t="s">
        <v>2396</v>
      </c>
      <c r="F875" s="2" t="s">
        <v>16</v>
      </c>
      <c r="G875" s="2" t="s">
        <v>17</v>
      </c>
      <c r="H875" s="2"/>
      <c r="I875" s="2"/>
      <c r="J875" s="2" t="s">
        <v>19</v>
      </c>
      <c r="K875" s="2"/>
      <c r="L875" s="2" t="s">
        <v>112</v>
      </c>
    </row>
    <row r="876" customFormat="false" ht="13.35" hidden="false" customHeight="true" outlineLevel="0" collapsed="false">
      <c r="A876" s="2" t="str">
        <f aca="false">HYPERLINK("https://www.fabsurplus.com/sdi_catalog/salesItemDetails.do?id=91661")</f>
        <v>https://www.fabsurplus.com/sdi_catalog/salesItemDetails.do?id=91661</v>
      </c>
      <c r="B876" s="2" t="s">
        <v>2399</v>
      </c>
      <c r="C876" s="2" t="s">
        <v>2273</v>
      </c>
      <c r="D876" s="2" t="s">
        <v>2395</v>
      </c>
      <c r="E876" s="2" t="s">
        <v>2396</v>
      </c>
      <c r="F876" s="2" t="s">
        <v>16</v>
      </c>
      <c r="G876" s="2" t="s">
        <v>17</v>
      </c>
      <c r="H876" s="2"/>
      <c r="I876" s="3" t="n">
        <v>39234</v>
      </c>
      <c r="J876" s="2" t="s">
        <v>19</v>
      </c>
      <c r="K876" s="2"/>
      <c r="L876" s="4" t="s">
        <v>2400</v>
      </c>
    </row>
    <row r="877" customFormat="false" ht="13.35" hidden="false" customHeight="true" outlineLevel="0" collapsed="false">
      <c r="A877" s="2" t="str">
        <f aca="false">HYPERLINK("https://www.fabsurplus.com/sdi_catalog/salesItemDetails.do?id=91662")</f>
        <v>https://www.fabsurplus.com/sdi_catalog/salesItemDetails.do?id=91662</v>
      </c>
      <c r="B877" s="2" t="s">
        <v>2401</v>
      </c>
      <c r="C877" s="2" t="s">
        <v>2273</v>
      </c>
      <c r="D877" s="2" t="s">
        <v>2402</v>
      </c>
      <c r="E877" s="2" t="s">
        <v>2403</v>
      </c>
      <c r="F877" s="2" t="s">
        <v>16</v>
      </c>
      <c r="G877" s="2" t="s">
        <v>17</v>
      </c>
      <c r="H877" s="2"/>
      <c r="I877" s="3" t="n">
        <v>38169</v>
      </c>
      <c r="J877" s="2" t="s">
        <v>19</v>
      </c>
      <c r="K877" s="2"/>
      <c r="L877" s="4" t="s">
        <v>2404</v>
      </c>
    </row>
    <row r="878" customFormat="false" ht="13.35" hidden="false" customHeight="true" outlineLevel="0" collapsed="false">
      <c r="A878" s="2" t="str">
        <f aca="false">HYPERLINK("https://www.fabsurplus.com/sdi_catalog/salesItemDetails.do?id=91664")</f>
        <v>https://www.fabsurplus.com/sdi_catalog/salesItemDetails.do?id=91664</v>
      </c>
      <c r="B878" s="2" t="s">
        <v>2405</v>
      </c>
      <c r="C878" s="2" t="s">
        <v>2273</v>
      </c>
      <c r="D878" s="2" t="s">
        <v>2402</v>
      </c>
      <c r="E878" s="2" t="s">
        <v>2288</v>
      </c>
      <c r="F878" s="2" t="s">
        <v>16</v>
      </c>
      <c r="G878" s="2" t="s">
        <v>17</v>
      </c>
      <c r="H878" s="2"/>
      <c r="I878" s="3" t="n">
        <v>38504</v>
      </c>
      <c r="J878" s="2" t="s">
        <v>19</v>
      </c>
      <c r="K878" s="2"/>
      <c r="L878" s="2" t="s">
        <v>112</v>
      </c>
    </row>
    <row r="879" customFormat="false" ht="13.35" hidden="false" customHeight="true" outlineLevel="0" collapsed="false">
      <c r="A879" s="5" t="str">
        <f aca="false">HYPERLINK("https://www.fabsurplus.com/sdi_catalog/salesItemDetails.do?id=91665")</f>
        <v>https://www.fabsurplus.com/sdi_catalog/salesItemDetails.do?id=91665</v>
      </c>
      <c r="B879" s="5" t="s">
        <v>2406</v>
      </c>
      <c r="C879" s="5" t="s">
        <v>2273</v>
      </c>
      <c r="D879" s="5" t="s">
        <v>2402</v>
      </c>
      <c r="E879" s="5" t="s">
        <v>2288</v>
      </c>
      <c r="F879" s="5" t="s">
        <v>16</v>
      </c>
      <c r="G879" s="5" t="s">
        <v>17</v>
      </c>
      <c r="H879" s="5"/>
      <c r="I879" s="6" t="n">
        <v>38869</v>
      </c>
      <c r="J879" s="5" t="s">
        <v>19</v>
      </c>
      <c r="K879" s="5"/>
      <c r="L879" s="5" t="s">
        <v>112</v>
      </c>
    </row>
    <row r="880" customFormat="false" ht="13.35" hidden="false" customHeight="true" outlineLevel="0" collapsed="false">
      <c r="A880" s="2" t="str">
        <f aca="false">HYPERLINK("https://www.fabsurplus.com/sdi_catalog/salesItemDetails.do?id=91667")</f>
        <v>https://www.fabsurplus.com/sdi_catalog/salesItemDetails.do?id=91667</v>
      </c>
      <c r="B880" s="2" t="s">
        <v>2407</v>
      </c>
      <c r="C880" s="2" t="s">
        <v>2273</v>
      </c>
      <c r="D880" s="2" t="s">
        <v>2402</v>
      </c>
      <c r="E880" s="2" t="s">
        <v>2288</v>
      </c>
      <c r="F880" s="2" t="s">
        <v>16</v>
      </c>
      <c r="G880" s="2" t="s">
        <v>17</v>
      </c>
      <c r="H880" s="2"/>
      <c r="I880" s="3" t="n">
        <v>39234</v>
      </c>
      <c r="J880" s="2" t="s">
        <v>19</v>
      </c>
      <c r="K880" s="2"/>
      <c r="L880" s="2" t="s">
        <v>112</v>
      </c>
    </row>
    <row r="881" customFormat="false" ht="13.35" hidden="false" customHeight="true" outlineLevel="0" collapsed="false">
      <c r="A881" s="5" t="str">
        <f aca="false">HYPERLINK("https://www.fabsurplus.com/sdi_catalog/salesItemDetails.do?id=98268")</f>
        <v>https://www.fabsurplus.com/sdi_catalog/salesItemDetails.do?id=98268</v>
      </c>
      <c r="B881" s="5" t="s">
        <v>2408</v>
      </c>
      <c r="C881" s="5" t="s">
        <v>2273</v>
      </c>
      <c r="D881" s="5" t="s">
        <v>2409</v>
      </c>
      <c r="E881" s="5" t="s">
        <v>2410</v>
      </c>
      <c r="F881" s="5" t="s">
        <v>16</v>
      </c>
      <c r="G881" s="5" t="s">
        <v>17</v>
      </c>
      <c r="H881" s="5" t="s">
        <v>26</v>
      </c>
      <c r="I881" s="6" t="n">
        <v>41061</v>
      </c>
      <c r="J881" s="5" t="s">
        <v>47</v>
      </c>
      <c r="K881" s="5" t="s">
        <v>20</v>
      </c>
      <c r="L881" s="7" t="s">
        <v>2411</v>
      </c>
    </row>
    <row r="882" customFormat="false" ht="13.35" hidden="false" customHeight="true" outlineLevel="0" collapsed="false">
      <c r="A882" s="5" t="str">
        <f aca="false">HYPERLINK("https://www.fabsurplus.com/sdi_catalog/salesItemDetails.do?id=102877")</f>
        <v>https://www.fabsurplus.com/sdi_catalog/salesItemDetails.do?id=102877</v>
      </c>
      <c r="B882" s="5" t="s">
        <v>2412</v>
      </c>
      <c r="C882" s="5" t="s">
        <v>2273</v>
      </c>
      <c r="D882" s="5" t="s">
        <v>2413</v>
      </c>
      <c r="E882" s="5" t="s">
        <v>2414</v>
      </c>
      <c r="F882" s="5" t="s">
        <v>16</v>
      </c>
      <c r="G882" s="5" t="s">
        <v>36</v>
      </c>
      <c r="H882" s="5"/>
      <c r="I882" s="5"/>
      <c r="J882" s="5" t="s">
        <v>19</v>
      </c>
      <c r="K882" s="5"/>
      <c r="L882" s="5" t="s">
        <v>2415</v>
      </c>
    </row>
    <row r="883" customFormat="false" ht="13.35" hidden="false" customHeight="true" outlineLevel="0" collapsed="false">
      <c r="A883" s="2" t="str">
        <f aca="false">HYPERLINK("https://www.fabsurplus.com/sdi_catalog/salesItemDetails.do?id=102878")</f>
        <v>https://www.fabsurplus.com/sdi_catalog/salesItemDetails.do?id=102878</v>
      </c>
      <c r="B883" s="2" t="s">
        <v>2416</v>
      </c>
      <c r="C883" s="2" t="s">
        <v>2273</v>
      </c>
      <c r="D883" s="2" t="s">
        <v>2413</v>
      </c>
      <c r="E883" s="2" t="s">
        <v>2414</v>
      </c>
      <c r="F883" s="2" t="s">
        <v>16</v>
      </c>
      <c r="G883" s="2" t="s">
        <v>36</v>
      </c>
      <c r="H883" s="2"/>
      <c r="I883" s="2"/>
      <c r="J883" s="2" t="s">
        <v>19</v>
      </c>
      <c r="K883" s="2"/>
      <c r="L883" s="2" t="s">
        <v>2417</v>
      </c>
    </row>
    <row r="884" customFormat="false" ht="13.35" hidden="false" customHeight="true" outlineLevel="0" collapsed="false">
      <c r="A884" s="5" t="str">
        <f aca="false">HYPERLINK("https://www.fabsurplus.com/sdi_catalog/salesItemDetails.do?id=102879")</f>
        <v>https://www.fabsurplus.com/sdi_catalog/salesItemDetails.do?id=102879</v>
      </c>
      <c r="B884" s="5" t="s">
        <v>2418</v>
      </c>
      <c r="C884" s="5" t="s">
        <v>2273</v>
      </c>
      <c r="D884" s="5" t="s">
        <v>2413</v>
      </c>
      <c r="E884" s="5" t="s">
        <v>2414</v>
      </c>
      <c r="F884" s="5" t="s">
        <v>16</v>
      </c>
      <c r="G884" s="5" t="s">
        <v>36</v>
      </c>
      <c r="H884" s="5"/>
      <c r="I884" s="5"/>
      <c r="J884" s="5" t="s">
        <v>19</v>
      </c>
      <c r="K884" s="5"/>
      <c r="L884" s="5" t="s">
        <v>2419</v>
      </c>
    </row>
    <row r="885" customFormat="false" ht="13.35" hidden="false" customHeight="true" outlineLevel="0" collapsed="false">
      <c r="A885" s="2" t="str">
        <f aca="false">HYPERLINK("https://www.fabsurplus.com/sdi_catalog/salesItemDetails.do?id=102880")</f>
        <v>https://www.fabsurplus.com/sdi_catalog/salesItemDetails.do?id=102880</v>
      </c>
      <c r="B885" s="2" t="s">
        <v>2420</v>
      </c>
      <c r="C885" s="2" t="s">
        <v>2273</v>
      </c>
      <c r="D885" s="2" t="s">
        <v>2413</v>
      </c>
      <c r="E885" s="2" t="s">
        <v>2414</v>
      </c>
      <c r="F885" s="2" t="s">
        <v>16</v>
      </c>
      <c r="G885" s="2" t="s">
        <v>36</v>
      </c>
      <c r="H885" s="2"/>
      <c r="I885" s="2"/>
      <c r="J885" s="2" t="s">
        <v>19</v>
      </c>
      <c r="K885" s="2"/>
      <c r="L885" s="2" t="s">
        <v>2421</v>
      </c>
    </row>
    <row r="886" customFormat="false" ht="13.35" hidden="false" customHeight="true" outlineLevel="0" collapsed="false">
      <c r="A886" s="5" t="str">
        <f aca="false">HYPERLINK("https://www.fabsurplus.com/sdi_catalog/salesItemDetails.do?id=102881")</f>
        <v>https://www.fabsurplus.com/sdi_catalog/salesItemDetails.do?id=102881</v>
      </c>
      <c r="B886" s="5" t="s">
        <v>2422</v>
      </c>
      <c r="C886" s="5" t="s">
        <v>2273</v>
      </c>
      <c r="D886" s="5" t="s">
        <v>2413</v>
      </c>
      <c r="E886" s="5" t="s">
        <v>2414</v>
      </c>
      <c r="F886" s="5" t="s">
        <v>16</v>
      </c>
      <c r="G886" s="5" t="s">
        <v>36</v>
      </c>
      <c r="H886" s="5"/>
      <c r="I886" s="5"/>
      <c r="J886" s="5" t="s">
        <v>19</v>
      </c>
      <c r="K886" s="5"/>
      <c r="L886" s="5" t="s">
        <v>2423</v>
      </c>
    </row>
    <row r="887" customFormat="false" ht="13.35" hidden="false" customHeight="true" outlineLevel="0" collapsed="false">
      <c r="A887" s="2" t="str">
        <f aca="false">HYPERLINK("https://www.fabsurplus.com/sdi_catalog/salesItemDetails.do?id=102882")</f>
        <v>https://www.fabsurplus.com/sdi_catalog/salesItemDetails.do?id=102882</v>
      </c>
      <c r="B887" s="2" t="s">
        <v>2424</v>
      </c>
      <c r="C887" s="2" t="s">
        <v>2273</v>
      </c>
      <c r="D887" s="2" t="s">
        <v>2413</v>
      </c>
      <c r="E887" s="2" t="s">
        <v>2414</v>
      </c>
      <c r="F887" s="2" t="s">
        <v>16</v>
      </c>
      <c r="G887" s="2" t="s">
        <v>2425</v>
      </c>
      <c r="H887" s="2"/>
      <c r="I887" s="2"/>
      <c r="J887" s="2" t="s">
        <v>19</v>
      </c>
      <c r="K887" s="2"/>
      <c r="L887" s="4" t="s">
        <v>2426</v>
      </c>
    </row>
    <row r="888" customFormat="false" ht="13.35" hidden="false" customHeight="true" outlineLevel="0" collapsed="false">
      <c r="A888" s="5" t="str">
        <f aca="false">HYPERLINK("https://www.fabsurplus.com/sdi_catalog/salesItemDetails.do?id=101620")</f>
        <v>https://www.fabsurplus.com/sdi_catalog/salesItemDetails.do?id=101620</v>
      </c>
      <c r="B888" s="5" t="s">
        <v>2427</v>
      </c>
      <c r="C888" s="5" t="s">
        <v>2273</v>
      </c>
      <c r="D888" s="5" t="s">
        <v>2428</v>
      </c>
      <c r="E888" s="5" t="s">
        <v>2429</v>
      </c>
      <c r="F888" s="5" t="s">
        <v>16</v>
      </c>
      <c r="G888" s="5" t="s">
        <v>17</v>
      </c>
      <c r="H888" s="5"/>
      <c r="I888" s="5"/>
      <c r="J888" s="5" t="s">
        <v>19</v>
      </c>
      <c r="K888" s="5"/>
      <c r="L888" s="5"/>
    </row>
    <row r="889" customFormat="false" ht="13.35" hidden="false" customHeight="true" outlineLevel="0" collapsed="false">
      <c r="A889" s="5" t="str">
        <f aca="false">HYPERLINK("https://www.fabsurplus.com/sdi_catalog/salesItemDetails.do?id=91671")</f>
        <v>https://www.fabsurplus.com/sdi_catalog/salesItemDetails.do?id=91671</v>
      </c>
      <c r="B889" s="5" t="s">
        <v>2430</v>
      </c>
      <c r="C889" s="5" t="s">
        <v>2273</v>
      </c>
      <c r="D889" s="5" t="s">
        <v>2431</v>
      </c>
      <c r="E889" s="5" t="s">
        <v>2288</v>
      </c>
      <c r="F889" s="5" t="s">
        <v>16</v>
      </c>
      <c r="G889" s="5" t="s">
        <v>493</v>
      </c>
      <c r="H889" s="5"/>
      <c r="I889" s="6" t="n">
        <v>35217</v>
      </c>
      <c r="J889" s="5" t="s">
        <v>19</v>
      </c>
      <c r="K889" s="5"/>
      <c r="L889" s="7" t="s">
        <v>2432</v>
      </c>
    </row>
    <row r="890" customFormat="false" ht="13.35" hidden="false" customHeight="true" outlineLevel="0" collapsed="false">
      <c r="A890" s="2" t="str">
        <f aca="false">HYPERLINK("https://www.fabsurplus.com/sdi_catalog/salesItemDetails.do?id=91672")</f>
        <v>https://www.fabsurplus.com/sdi_catalog/salesItemDetails.do?id=91672</v>
      </c>
      <c r="B890" s="2" t="s">
        <v>2433</v>
      </c>
      <c r="C890" s="2" t="s">
        <v>2273</v>
      </c>
      <c r="D890" s="2" t="s">
        <v>2434</v>
      </c>
      <c r="E890" s="2" t="s">
        <v>2435</v>
      </c>
      <c r="F890" s="2" t="s">
        <v>16</v>
      </c>
      <c r="G890" s="2" t="s">
        <v>36</v>
      </c>
      <c r="H890" s="2"/>
      <c r="I890" s="3" t="n">
        <v>34121</v>
      </c>
      <c r="J890" s="2" t="s">
        <v>19</v>
      </c>
      <c r="K890" s="2"/>
      <c r="L890" s="2" t="s">
        <v>112</v>
      </c>
    </row>
    <row r="891" customFormat="false" ht="13.35" hidden="false" customHeight="true" outlineLevel="0" collapsed="false">
      <c r="A891" s="2" t="str">
        <f aca="false">HYPERLINK("https://www.fabsurplus.com/sdi_catalog/salesItemDetails.do?id=91674")</f>
        <v>https://www.fabsurplus.com/sdi_catalog/salesItemDetails.do?id=91674</v>
      </c>
      <c r="B891" s="2" t="s">
        <v>2436</v>
      </c>
      <c r="C891" s="2" t="s">
        <v>2273</v>
      </c>
      <c r="D891" s="2" t="s">
        <v>2437</v>
      </c>
      <c r="E891" s="2" t="s">
        <v>2438</v>
      </c>
      <c r="F891" s="2" t="s">
        <v>16</v>
      </c>
      <c r="G891" s="2" t="s">
        <v>17</v>
      </c>
      <c r="H891" s="2"/>
      <c r="I891" s="2"/>
      <c r="J891" s="2" t="s">
        <v>19</v>
      </c>
      <c r="K891" s="2"/>
      <c r="L891" s="2" t="s">
        <v>112</v>
      </c>
    </row>
    <row r="892" customFormat="false" ht="13.35" hidden="false" customHeight="true" outlineLevel="0" collapsed="false">
      <c r="A892" s="5" t="str">
        <f aca="false">HYPERLINK("https://www.fabsurplus.com/sdi_catalog/salesItemDetails.do?id=91677")</f>
        <v>https://www.fabsurplus.com/sdi_catalog/salesItemDetails.do?id=91677</v>
      </c>
      <c r="B892" s="5" t="s">
        <v>2439</v>
      </c>
      <c r="C892" s="5" t="s">
        <v>2273</v>
      </c>
      <c r="D892" s="5" t="s">
        <v>2437</v>
      </c>
      <c r="E892" s="5" t="s">
        <v>2438</v>
      </c>
      <c r="F892" s="5" t="s">
        <v>16</v>
      </c>
      <c r="G892" s="5" t="s">
        <v>17</v>
      </c>
      <c r="H892" s="5"/>
      <c r="I892" s="5"/>
      <c r="J892" s="5" t="s">
        <v>19</v>
      </c>
      <c r="K892" s="5"/>
      <c r="L892" s="5" t="s">
        <v>112</v>
      </c>
    </row>
    <row r="893" customFormat="false" ht="13.35" hidden="false" customHeight="true" outlineLevel="0" collapsed="false">
      <c r="A893" s="2" t="str">
        <f aca="false">HYPERLINK("https://www.fabsurplus.com/sdi_catalog/salesItemDetails.do?id=91678")</f>
        <v>https://www.fabsurplus.com/sdi_catalog/salesItemDetails.do?id=91678</v>
      </c>
      <c r="B893" s="2" t="s">
        <v>2440</v>
      </c>
      <c r="C893" s="2" t="s">
        <v>2273</v>
      </c>
      <c r="D893" s="2" t="s">
        <v>2437</v>
      </c>
      <c r="E893" s="2" t="s">
        <v>2438</v>
      </c>
      <c r="F893" s="2" t="s">
        <v>16</v>
      </c>
      <c r="G893" s="2" t="s">
        <v>17</v>
      </c>
      <c r="H893" s="2"/>
      <c r="I893" s="2"/>
      <c r="J893" s="2" t="s">
        <v>19</v>
      </c>
      <c r="K893" s="2"/>
      <c r="L893" s="2" t="s">
        <v>112</v>
      </c>
    </row>
    <row r="894" customFormat="false" ht="13.35" hidden="false" customHeight="true" outlineLevel="0" collapsed="false">
      <c r="A894" s="5" t="str">
        <f aca="false">HYPERLINK("https://www.fabsurplus.com/sdi_catalog/salesItemDetails.do?id=91679")</f>
        <v>https://www.fabsurplus.com/sdi_catalog/salesItemDetails.do?id=91679</v>
      </c>
      <c r="B894" s="5" t="s">
        <v>2441</v>
      </c>
      <c r="C894" s="5" t="s">
        <v>2273</v>
      </c>
      <c r="D894" s="5" t="s">
        <v>2437</v>
      </c>
      <c r="E894" s="5" t="s">
        <v>2438</v>
      </c>
      <c r="F894" s="5" t="s">
        <v>16</v>
      </c>
      <c r="G894" s="5" t="s">
        <v>17</v>
      </c>
      <c r="H894" s="5"/>
      <c r="I894" s="5"/>
      <c r="J894" s="5" t="s">
        <v>19</v>
      </c>
      <c r="K894" s="5"/>
      <c r="L894" s="5" t="s">
        <v>112</v>
      </c>
    </row>
    <row r="895" customFormat="false" ht="13.35" hidden="false" customHeight="true" outlineLevel="0" collapsed="false">
      <c r="A895" s="5" t="str">
        <f aca="false">HYPERLINK("https://www.fabsurplus.com/sdi_catalog/salesItemDetails.do?id=91681")</f>
        <v>https://www.fabsurplus.com/sdi_catalog/salesItemDetails.do?id=91681</v>
      </c>
      <c r="B895" s="5" t="s">
        <v>2442</v>
      </c>
      <c r="C895" s="5" t="s">
        <v>2273</v>
      </c>
      <c r="D895" s="5" t="s">
        <v>2437</v>
      </c>
      <c r="E895" s="5" t="s">
        <v>2443</v>
      </c>
      <c r="F895" s="5" t="s">
        <v>16</v>
      </c>
      <c r="G895" s="5" t="s">
        <v>17</v>
      </c>
      <c r="H895" s="5"/>
      <c r="I895" s="5"/>
      <c r="J895" s="5" t="s">
        <v>19</v>
      </c>
      <c r="K895" s="5"/>
      <c r="L895" s="5" t="s">
        <v>112</v>
      </c>
    </row>
    <row r="896" customFormat="false" ht="13.35" hidden="false" customHeight="true" outlineLevel="0" collapsed="false">
      <c r="A896" s="2" t="str">
        <f aca="false">HYPERLINK("https://www.fabsurplus.com/sdi_catalog/salesItemDetails.do?id=91682")</f>
        <v>https://www.fabsurplus.com/sdi_catalog/salesItemDetails.do?id=91682</v>
      </c>
      <c r="B896" s="2" t="s">
        <v>2444</v>
      </c>
      <c r="C896" s="2" t="s">
        <v>2273</v>
      </c>
      <c r="D896" s="2" t="s">
        <v>2437</v>
      </c>
      <c r="E896" s="2" t="s">
        <v>2443</v>
      </c>
      <c r="F896" s="2" t="s">
        <v>16</v>
      </c>
      <c r="G896" s="2" t="s">
        <v>17</v>
      </c>
      <c r="H896" s="2"/>
      <c r="I896" s="2"/>
      <c r="J896" s="2" t="s">
        <v>19</v>
      </c>
      <c r="K896" s="2"/>
      <c r="L896" s="2" t="s">
        <v>112</v>
      </c>
    </row>
    <row r="897" customFormat="false" ht="13.35" hidden="false" customHeight="true" outlineLevel="0" collapsed="false">
      <c r="A897" s="2" t="str">
        <f aca="false">HYPERLINK("https://www.fabsurplus.com/sdi_catalog/salesItemDetails.do?id=91683")</f>
        <v>https://www.fabsurplus.com/sdi_catalog/salesItemDetails.do?id=91683</v>
      </c>
      <c r="B897" s="2" t="s">
        <v>2445</v>
      </c>
      <c r="C897" s="2" t="s">
        <v>2273</v>
      </c>
      <c r="D897" s="2" t="s">
        <v>2437</v>
      </c>
      <c r="E897" s="2" t="s">
        <v>2443</v>
      </c>
      <c r="F897" s="2" t="s">
        <v>16</v>
      </c>
      <c r="G897" s="2" t="s">
        <v>17</v>
      </c>
      <c r="H897" s="2"/>
      <c r="I897" s="2"/>
      <c r="J897" s="2" t="s">
        <v>19</v>
      </c>
      <c r="K897" s="2"/>
      <c r="L897" s="2" t="s">
        <v>112</v>
      </c>
    </row>
    <row r="898" customFormat="false" ht="13.35" hidden="false" customHeight="true" outlineLevel="0" collapsed="false">
      <c r="A898" s="5" t="str">
        <f aca="false">HYPERLINK("https://www.fabsurplus.com/sdi_catalog/salesItemDetails.do?id=91684")</f>
        <v>https://www.fabsurplus.com/sdi_catalog/salesItemDetails.do?id=91684</v>
      </c>
      <c r="B898" s="5" t="s">
        <v>2446</v>
      </c>
      <c r="C898" s="5" t="s">
        <v>2273</v>
      </c>
      <c r="D898" s="5" t="s">
        <v>2437</v>
      </c>
      <c r="E898" s="5" t="s">
        <v>2443</v>
      </c>
      <c r="F898" s="5" t="s">
        <v>16</v>
      </c>
      <c r="G898" s="5" t="s">
        <v>17</v>
      </c>
      <c r="H898" s="5"/>
      <c r="I898" s="6" t="n">
        <v>39600</v>
      </c>
      <c r="J898" s="5" t="s">
        <v>19</v>
      </c>
      <c r="K898" s="5"/>
      <c r="L898" s="5" t="s">
        <v>112</v>
      </c>
    </row>
    <row r="899" customFormat="false" ht="13.35" hidden="false" customHeight="true" outlineLevel="0" collapsed="false">
      <c r="A899" s="5" t="str">
        <f aca="false">HYPERLINK("https://www.fabsurplus.com/sdi_catalog/salesItemDetails.do?id=91675")</f>
        <v>https://www.fabsurplus.com/sdi_catalog/salesItemDetails.do?id=91675</v>
      </c>
      <c r="B899" s="5" t="s">
        <v>2447</v>
      </c>
      <c r="C899" s="5" t="s">
        <v>2273</v>
      </c>
      <c r="D899" s="5" t="s">
        <v>2437</v>
      </c>
      <c r="E899" s="5" t="s">
        <v>2448</v>
      </c>
      <c r="F899" s="5" t="s">
        <v>16</v>
      </c>
      <c r="G899" s="5" t="s">
        <v>17</v>
      </c>
      <c r="H899" s="5"/>
      <c r="I899" s="5"/>
      <c r="J899" s="5" t="s">
        <v>19</v>
      </c>
      <c r="K899" s="5"/>
      <c r="L899" s="5" t="s">
        <v>112</v>
      </c>
    </row>
    <row r="900" customFormat="false" ht="13.35" hidden="false" customHeight="true" outlineLevel="0" collapsed="false">
      <c r="A900" s="5" t="str">
        <f aca="false">HYPERLINK("https://www.fabsurplus.com/sdi_catalog/salesItemDetails.do?id=91673")</f>
        <v>https://www.fabsurplus.com/sdi_catalog/salesItemDetails.do?id=91673</v>
      </c>
      <c r="B900" s="5" t="s">
        <v>2449</v>
      </c>
      <c r="C900" s="5" t="s">
        <v>2273</v>
      </c>
      <c r="D900" s="5" t="s">
        <v>2437</v>
      </c>
      <c r="E900" s="5" t="s">
        <v>2450</v>
      </c>
      <c r="F900" s="5" t="s">
        <v>16</v>
      </c>
      <c r="G900" s="5" t="s">
        <v>17</v>
      </c>
      <c r="H900" s="5"/>
      <c r="I900" s="5"/>
      <c r="J900" s="5" t="s">
        <v>19</v>
      </c>
      <c r="K900" s="5"/>
      <c r="L900" s="5" t="s">
        <v>112</v>
      </c>
    </row>
    <row r="901" customFormat="false" ht="13.35" hidden="false" customHeight="true" outlineLevel="0" collapsed="false">
      <c r="A901" s="2" t="str">
        <f aca="false">HYPERLINK("https://www.fabsurplus.com/sdi_catalog/salesItemDetails.do?id=91676")</f>
        <v>https://www.fabsurplus.com/sdi_catalog/salesItemDetails.do?id=91676</v>
      </c>
      <c r="B901" s="2" t="s">
        <v>2451</v>
      </c>
      <c r="C901" s="2" t="s">
        <v>2273</v>
      </c>
      <c r="D901" s="2" t="s">
        <v>2437</v>
      </c>
      <c r="E901" s="2" t="s">
        <v>2450</v>
      </c>
      <c r="F901" s="2" t="s">
        <v>16</v>
      </c>
      <c r="G901" s="2" t="s">
        <v>17</v>
      </c>
      <c r="H901" s="2"/>
      <c r="I901" s="2"/>
      <c r="J901" s="2" t="s">
        <v>19</v>
      </c>
      <c r="K901" s="2"/>
      <c r="L901" s="2" t="s">
        <v>112</v>
      </c>
    </row>
    <row r="902" customFormat="false" ht="13.35" hidden="false" customHeight="true" outlineLevel="0" collapsed="false">
      <c r="A902" s="2" t="str">
        <f aca="false">HYPERLINK("https://www.fabsurplus.com/sdi_catalog/salesItemDetails.do?id=91680")</f>
        <v>https://www.fabsurplus.com/sdi_catalog/salesItemDetails.do?id=91680</v>
      </c>
      <c r="B902" s="2" t="s">
        <v>2452</v>
      </c>
      <c r="C902" s="2" t="s">
        <v>2273</v>
      </c>
      <c r="D902" s="2" t="s">
        <v>2437</v>
      </c>
      <c r="E902" s="2" t="s">
        <v>2450</v>
      </c>
      <c r="F902" s="2" t="s">
        <v>16</v>
      </c>
      <c r="G902" s="2" t="s">
        <v>17</v>
      </c>
      <c r="H902" s="2"/>
      <c r="I902" s="2"/>
      <c r="J902" s="2" t="s">
        <v>19</v>
      </c>
      <c r="K902" s="2"/>
      <c r="L902" s="2" t="s">
        <v>112</v>
      </c>
    </row>
    <row r="903" customFormat="false" ht="13.35" hidden="false" customHeight="true" outlineLevel="0" collapsed="false">
      <c r="A903" s="2" t="str">
        <f aca="false">HYPERLINK("https://www.fabsurplus.com/sdi_catalog/salesItemDetails.do?id=102692")</f>
        <v>https://www.fabsurplus.com/sdi_catalog/salesItemDetails.do?id=102692</v>
      </c>
      <c r="B903" s="2" t="s">
        <v>2453</v>
      </c>
      <c r="C903" s="2" t="s">
        <v>2273</v>
      </c>
      <c r="D903" s="2" t="s">
        <v>2437</v>
      </c>
      <c r="E903" s="2" t="s">
        <v>2454</v>
      </c>
      <c r="F903" s="2" t="s">
        <v>16</v>
      </c>
      <c r="G903" s="2" t="s">
        <v>17</v>
      </c>
      <c r="H903" s="2"/>
      <c r="I903" s="2"/>
      <c r="J903" s="2" t="s">
        <v>19</v>
      </c>
      <c r="K903" s="2"/>
      <c r="L903" s="2"/>
    </row>
    <row r="904" customFormat="false" ht="13.35" hidden="false" customHeight="true" outlineLevel="0" collapsed="false">
      <c r="A904" s="2" t="str">
        <f aca="false">HYPERLINK("https://www.fabsurplus.com/sdi_catalog/salesItemDetails.do?id=102693")</f>
        <v>https://www.fabsurplus.com/sdi_catalog/salesItemDetails.do?id=102693</v>
      </c>
      <c r="B904" s="2" t="s">
        <v>2455</v>
      </c>
      <c r="C904" s="2" t="s">
        <v>2273</v>
      </c>
      <c r="D904" s="2" t="s">
        <v>2437</v>
      </c>
      <c r="E904" s="2" t="s">
        <v>2454</v>
      </c>
      <c r="F904" s="2" t="s">
        <v>16</v>
      </c>
      <c r="G904" s="2" t="s">
        <v>17</v>
      </c>
      <c r="H904" s="2"/>
      <c r="I904" s="2"/>
      <c r="J904" s="2" t="s">
        <v>19</v>
      </c>
      <c r="K904" s="2"/>
      <c r="L904" s="4" t="s">
        <v>2456</v>
      </c>
    </row>
    <row r="905" customFormat="false" ht="13.35" hidden="false" customHeight="true" outlineLevel="0" collapsed="false">
      <c r="A905" s="5" t="str">
        <f aca="false">HYPERLINK("https://www.fabsurplus.com/sdi_catalog/salesItemDetails.do?id=102695")</f>
        <v>https://www.fabsurplus.com/sdi_catalog/salesItemDetails.do?id=102695</v>
      </c>
      <c r="B905" s="5" t="s">
        <v>2457</v>
      </c>
      <c r="C905" s="5" t="s">
        <v>2273</v>
      </c>
      <c r="D905" s="5" t="s">
        <v>2437</v>
      </c>
      <c r="E905" s="5" t="s">
        <v>2454</v>
      </c>
      <c r="F905" s="5" t="s">
        <v>16</v>
      </c>
      <c r="G905" s="5" t="s">
        <v>17</v>
      </c>
      <c r="H905" s="5"/>
      <c r="I905" s="5"/>
      <c r="J905" s="5" t="s">
        <v>19</v>
      </c>
      <c r="K905" s="5"/>
      <c r="L905" s="7" t="s">
        <v>2458</v>
      </c>
    </row>
    <row r="906" customFormat="false" ht="13.35" hidden="false" customHeight="true" outlineLevel="0" collapsed="false">
      <c r="A906" s="2" t="str">
        <f aca="false">HYPERLINK("https://www.fabsurplus.com/sdi_catalog/salesItemDetails.do?id=103084")</f>
        <v>https://www.fabsurplus.com/sdi_catalog/salesItemDetails.do?id=103084</v>
      </c>
      <c r="B906" s="2" t="s">
        <v>2459</v>
      </c>
      <c r="C906" s="2" t="s">
        <v>2273</v>
      </c>
      <c r="D906" s="2" t="s">
        <v>2437</v>
      </c>
      <c r="E906" s="2" t="s">
        <v>2318</v>
      </c>
      <c r="F906" s="2" t="s">
        <v>16</v>
      </c>
      <c r="G906" s="2" t="s">
        <v>658</v>
      </c>
      <c r="H906" s="2"/>
      <c r="I906" s="2"/>
      <c r="J906" s="2" t="s">
        <v>19</v>
      </c>
      <c r="K906" s="2"/>
      <c r="L906" s="2" t="s">
        <v>2460</v>
      </c>
    </row>
    <row r="907" customFormat="false" ht="13.35" hidden="false" customHeight="true" outlineLevel="0" collapsed="false">
      <c r="A907" s="2" t="str">
        <f aca="false">HYPERLINK("https://www.fabsurplus.com/sdi_catalog/salesItemDetails.do?id=102184")</f>
        <v>https://www.fabsurplus.com/sdi_catalog/salesItemDetails.do?id=102184</v>
      </c>
      <c r="B907" s="2" t="s">
        <v>2461</v>
      </c>
      <c r="C907" s="2" t="s">
        <v>2273</v>
      </c>
      <c r="D907" s="2" t="s">
        <v>2462</v>
      </c>
      <c r="E907" s="2" t="s">
        <v>2463</v>
      </c>
      <c r="F907" s="2" t="s">
        <v>16</v>
      </c>
      <c r="G907" s="2" t="s">
        <v>17</v>
      </c>
      <c r="H907" s="2"/>
      <c r="I907" s="3" t="n">
        <v>40695</v>
      </c>
      <c r="J907" s="2" t="s">
        <v>19</v>
      </c>
      <c r="K907" s="2"/>
      <c r="L907" s="2"/>
    </row>
    <row r="908" customFormat="false" ht="13.35" hidden="false" customHeight="true" outlineLevel="0" collapsed="false">
      <c r="A908" s="5" t="str">
        <f aca="false">HYPERLINK("https://www.fabsurplus.com/sdi_catalog/salesItemDetails.do?id=102185")</f>
        <v>https://www.fabsurplus.com/sdi_catalog/salesItemDetails.do?id=102185</v>
      </c>
      <c r="B908" s="5" t="s">
        <v>2464</v>
      </c>
      <c r="C908" s="5" t="s">
        <v>2273</v>
      </c>
      <c r="D908" s="5" t="s">
        <v>2462</v>
      </c>
      <c r="E908" s="5" t="s">
        <v>2463</v>
      </c>
      <c r="F908" s="5" t="s">
        <v>16</v>
      </c>
      <c r="G908" s="5" t="s">
        <v>17</v>
      </c>
      <c r="H908" s="5"/>
      <c r="I908" s="6" t="n">
        <v>40695</v>
      </c>
      <c r="J908" s="5" t="s">
        <v>19</v>
      </c>
      <c r="K908" s="5"/>
      <c r="L908" s="5"/>
    </row>
    <row r="909" customFormat="false" ht="13.35" hidden="false" customHeight="true" outlineLevel="0" collapsed="false">
      <c r="A909" s="2" t="str">
        <f aca="false">HYPERLINK("https://www.fabsurplus.com/sdi_catalog/salesItemDetails.do?id=102186")</f>
        <v>https://www.fabsurplus.com/sdi_catalog/salesItemDetails.do?id=102186</v>
      </c>
      <c r="B909" s="2" t="s">
        <v>2465</v>
      </c>
      <c r="C909" s="2" t="s">
        <v>2273</v>
      </c>
      <c r="D909" s="2" t="s">
        <v>2462</v>
      </c>
      <c r="E909" s="2" t="s">
        <v>2463</v>
      </c>
      <c r="F909" s="2" t="s">
        <v>16</v>
      </c>
      <c r="G909" s="2" t="s">
        <v>17</v>
      </c>
      <c r="H909" s="2"/>
      <c r="I909" s="3" t="n">
        <v>41061</v>
      </c>
      <c r="J909" s="2" t="s">
        <v>19</v>
      </c>
      <c r="K909" s="2"/>
      <c r="L909" s="2"/>
    </row>
    <row r="910" customFormat="false" ht="13.35" hidden="false" customHeight="true" outlineLevel="0" collapsed="false">
      <c r="A910" s="2" t="str">
        <f aca="false">HYPERLINK("https://www.fabsurplus.com/sdi_catalog/salesItemDetails.do?id=102187")</f>
        <v>https://www.fabsurplus.com/sdi_catalog/salesItemDetails.do?id=102187</v>
      </c>
      <c r="B910" s="2" t="s">
        <v>2466</v>
      </c>
      <c r="C910" s="2" t="s">
        <v>2273</v>
      </c>
      <c r="D910" s="2" t="s">
        <v>2462</v>
      </c>
      <c r="E910" s="2" t="s">
        <v>2463</v>
      </c>
      <c r="F910" s="2" t="s">
        <v>16</v>
      </c>
      <c r="G910" s="2" t="s">
        <v>17</v>
      </c>
      <c r="H910" s="2"/>
      <c r="I910" s="3" t="n">
        <v>41061</v>
      </c>
      <c r="J910" s="2" t="s">
        <v>19</v>
      </c>
      <c r="K910" s="2"/>
      <c r="L910" s="2"/>
    </row>
    <row r="911" customFormat="false" ht="13.35" hidden="false" customHeight="true" outlineLevel="0" collapsed="false">
      <c r="A911" s="2" t="str">
        <f aca="false">HYPERLINK("https://www.fabsurplus.com/sdi_catalog/salesItemDetails.do?id=102188")</f>
        <v>https://www.fabsurplus.com/sdi_catalog/salesItemDetails.do?id=102188</v>
      </c>
      <c r="B911" s="2" t="s">
        <v>2467</v>
      </c>
      <c r="C911" s="2" t="s">
        <v>2273</v>
      </c>
      <c r="D911" s="2" t="s">
        <v>2462</v>
      </c>
      <c r="E911" s="2" t="s">
        <v>2463</v>
      </c>
      <c r="F911" s="2" t="s">
        <v>16</v>
      </c>
      <c r="G911" s="2" t="s">
        <v>17</v>
      </c>
      <c r="H911" s="2"/>
      <c r="I911" s="3" t="n">
        <v>41426</v>
      </c>
      <c r="J911" s="2" t="s">
        <v>19</v>
      </c>
      <c r="K911" s="2"/>
      <c r="L911" s="2"/>
    </row>
    <row r="912" customFormat="false" ht="13.35" hidden="false" customHeight="true" outlineLevel="0" collapsed="false">
      <c r="A912" s="2" t="str">
        <f aca="false">HYPERLINK("https://www.fabsurplus.com/sdi_catalog/salesItemDetails.do?id=102558")</f>
        <v>https://www.fabsurplus.com/sdi_catalog/salesItemDetails.do?id=102558</v>
      </c>
      <c r="B912" s="2" t="s">
        <v>2468</v>
      </c>
      <c r="C912" s="2" t="s">
        <v>2469</v>
      </c>
      <c r="D912" s="2" t="s">
        <v>2470</v>
      </c>
      <c r="E912" s="2" t="s">
        <v>2471</v>
      </c>
      <c r="F912" s="2" t="s">
        <v>16</v>
      </c>
      <c r="G912" s="2" t="s">
        <v>658</v>
      </c>
      <c r="H912" s="2"/>
      <c r="I912" s="2"/>
      <c r="J912" s="2" t="s">
        <v>47</v>
      </c>
      <c r="K912" s="2"/>
      <c r="L912" s="2"/>
    </row>
    <row r="913" customFormat="false" ht="13.35" hidden="false" customHeight="true" outlineLevel="0" collapsed="false">
      <c r="A913" s="5" t="str">
        <f aca="false">HYPERLINK("https://www.fabsurplus.com/sdi_catalog/salesItemDetails.do?id=101645")</f>
        <v>https://www.fabsurplus.com/sdi_catalog/salesItemDetails.do?id=101645</v>
      </c>
      <c r="B913" s="5" t="s">
        <v>2472</v>
      </c>
      <c r="C913" s="5" t="s">
        <v>2473</v>
      </c>
      <c r="D913" s="5" t="s">
        <v>2474</v>
      </c>
      <c r="E913" s="5" t="s">
        <v>2475</v>
      </c>
      <c r="F913" s="5" t="s">
        <v>16</v>
      </c>
      <c r="G913" s="5" t="s">
        <v>154</v>
      </c>
      <c r="H913" s="5"/>
      <c r="I913" s="5"/>
      <c r="J913" s="5" t="s">
        <v>19</v>
      </c>
      <c r="K913" s="5"/>
      <c r="L913" s="5"/>
    </row>
    <row r="914" customFormat="false" ht="13.35" hidden="false" customHeight="true" outlineLevel="0" collapsed="false">
      <c r="A914" s="2" t="str">
        <f aca="false">HYPERLINK("https://www.fabsurplus.com/sdi_catalog/salesItemDetails.do?id=102500")</f>
        <v>https://www.fabsurplus.com/sdi_catalog/salesItemDetails.do?id=102500</v>
      </c>
      <c r="B914" s="2" t="s">
        <v>2476</v>
      </c>
      <c r="C914" s="2" t="s">
        <v>2473</v>
      </c>
      <c r="D914" s="2" t="s">
        <v>2477</v>
      </c>
      <c r="E914" s="2" t="s">
        <v>87</v>
      </c>
      <c r="F914" s="2" t="s">
        <v>16</v>
      </c>
      <c r="G914" s="2" t="s">
        <v>88</v>
      </c>
      <c r="H914" s="2" t="s">
        <v>96</v>
      </c>
      <c r="I914" s="2"/>
      <c r="J914" s="2" t="s">
        <v>47</v>
      </c>
      <c r="K914" s="2" t="s">
        <v>20</v>
      </c>
      <c r="L914" s="4" t="s">
        <v>2478</v>
      </c>
    </row>
    <row r="915" customFormat="false" ht="13.35" hidden="false" customHeight="true" outlineLevel="0" collapsed="false">
      <c r="A915" s="5" t="str">
        <f aca="false">HYPERLINK("https://www.fabsurplus.com/sdi_catalog/salesItemDetails.do?id=102956")</f>
        <v>https://www.fabsurplus.com/sdi_catalog/salesItemDetails.do?id=102956</v>
      </c>
      <c r="B915" s="5" t="s">
        <v>2479</v>
      </c>
      <c r="C915" s="5" t="s">
        <v>2480</v>
      </c>
      <c r="D915" s="5" t="s">
        <v>2481</v>
      </c>
      <c r="E915" s="5" t="s">
        <v>2482</v>
      </c>
      <c r="F915" s="5" t="s">
        <v>16</v>
      </c>
      <c r="G915" s="5" t="s">
        <v>17</v>
      </c>
      <c r="H915" s="5"/>
      <c r="I915" s="6" t="n">
        <v>39600</v>
      </c>
      <c r="J915" s="5" t="s">
        <v>19</v>
      </c>
      <c r="K915" s="5"/>
      <c r="L915" s="5"/>
    </row>
    <row r="916" customFormat="false" ht="13.35" hidden="false" customHeight="true" outlineLevel="0" collapsed="false">
      <c r="A916" s="5" t="str">
        <f aca="false">HYPERLINK("https://www.fabsurplus.com/sdi_catalog/salesItemDetails.do?id=99413")</f>
        <v>https://www.fabsurplus.com/sdi_catalog/salesItemDetails.do?id=99413</v>
      </c>
      <c r="B916" s="5" t="s">
        <v>2483</v>
      </c>
      <c r="C916" s="5" t="s">
        <v>2484</v>
      </c>
      <c r="D916" s="5" t="s">
        <v>2485</v>
      </c>
      <c r="E916" s="5" t="s">
        <v>2486</v>
      </c>
      <c r="F916" s="5" t="s">
        <v>16</v>
      </c>
      <c r="G916" s="5"/>
      <c r="H916" s="5"/>
      <c r="I916" s="5"/>
      <c r="J916" s="5" t="s">
        <v>19</v>
      </c>
      <c r="K916" s="5"/>
      <c r="L916" s="7" t="s">
        <v>2487</v>
      </c>
    </row>
    <row r="917" customFormat="false" ht="13.35" hidden="false" customHeight="true" outlineLevel="0" collapsed="false">
      <c r="A917" s="2" t="str">
        <f aca="false">HYPERLINK("https://www.fabsurplus.com/sdi_catalog/salesItemDetails.do?id=102589")</f>
        <v>https://www.fabsurplus.com/sdi_catalog/salesItemDetails.do?id=102589</v>
      </c>
      <c r="B917" s="2" t="s">
        <v>2488</v>
      </c>
      <c r="C917" s="2" t="s">
        <v>2489</v>
      </c>
      <c r="D917" s="2" t="s">
        <v>2490</v>
      </c>
      <c r="E917" s="2" t="s">
        <v>2491</v>
      </c>
      <c r="F917" s="2" t="s">
        <v>16</v>
      </c>
      <c r="G917" s="2" t="s">
        <v>2492</v>
      </c>
      <c r="H917" s="2" t="s">
        <v>26</v>
      </c>
      <c r="I917" s="3" t="n">
        <v>39600</v>
      </c>
      <c r="J917" s="2" t="s">
        <v>19</v>
      </c>
      <c r="K917" s="2" t="s">
        <v>20</v>
      </c>
      <c r="L917" s="4" t="s">
        <v>2493</v>
      </c>
    </row>
    <row r="918" customFormat="false" ht="13.35" hidden="false" customHeight="true" outlineLevel="0" collapsed="false">
      <c r="A918" s="2" t="str">
        <f aca="false">HYPERLINK("https://www.fabsurplus.com/sdi_catalog/salesItemDetails.do?id=90182")</f>
        <v>https://www.fabsurplus.com/sdi_catalog/salesItemDetails.do?id=90182</v>
      </c>
      <c r="B918" s="2" t="s">
        <v>2494</v>
      </c>
      <c r="C918" s="2" t="s">
        <v>2495</v>
      </c>
      <c r="D918" s="2" t="s">
        <v>2496</v>
      </c>
      <c r="E918" s="2" t="s">
        <v>2497</v>
      </c>
      <c r="F918" s="2" t="s">
        <v>16</v>
      </c>
      <c r="G918" s="2" t="s">
        <v>138</v>
      </c>
      <c r="H918" s="2"/>
      <c r="I918" s="2"/>
      <c r="J918" s="2" t="s">
        <v>19</v>
      </c>
      <c r="K918" s="2"/>
      <c r="L918" s="2" t="s">
        <v>2498</v>
      </c>
    </row>
    <row r="919" customFormat="false" ht="13.35" hidden="false" customHeight="true" outlineLevel="0" collapsed="false">
      <c r="A919" s="5" t="str">
        <f aca="false">HYPERLINK("https://www.fabsurplus.com/sdi_catalog/salesItemDetails.do?id=90185")</f>
        <v>https://www.fabsurplus.com/sdi_catalog/salesItemDetails.do?id=90185</v>
      </c>
      <c r="B919" s="5" t="s">
        <v>2499</v>
      </c>
      <c r="C919" s="5" t="s">
        <v>2495</v>
      </c>
      <c r="D919" s="5" t="s">
        <v>2500</v>
      </c>
      <c r="E919" s="5" t="s">
        <v>2497</v>
      </c>
      <c r="F919" s="5" t="s">
        <v>125</v>
      </c>
      <c r="G919" s="5" t="s">
        <v>138</v>
      </c>
      <c r="H919" s="5"/>
      <c r="I919" s="5"/>
      <c r="J919" s="5" t="s">
        <v>19</v>
      </c>
      <c r="K919" s="5"/>
      <c r="L919" s="5" t="s">
        <v>2498</v>
      </c>
    </row>
    <row r="920" customFormat="false" ht="13.35" hidden="false" customHeight="true" outlineLevel="0" collapsed="false">
      <c r="A920" s="5" t="str">
        <f aca="false">HYPERLINK("https://www.fabsurplus.com/sdi_catalog/salesItemDetails.do?id=90183")</f>
        <v>https://www.fabsurplus.com/sdi_catalog/salesItemDetails.do?id=90183</v>
      </c>
      <c r="B920" s="5" t="s">
        <v>2501</v>
      </c>
      <c r="C920" s="5" t="s">
        <v>2495</v>
      </c>
      <c r="D920" s="5" t="s">
        <v>2502</v>
      </c>
      <c r="E920" s="5" t="s">
        <v>2497</v>
      </c>
      <c r="F920" s="5" t="s">
        <v>16</v>
      </c>
      <c r="G920" s="5" t="s">
        <v>138</v>
      </c>
      <c r="H920" s="5"/>
      <c r="I920" s="5"/>
      <c r="J920" s="5" t="s">
        <v>19</v>
      </c>
      <c r="K920" s="5"/>
      <c r="L920" s="5" t="s">
        <v>2498</v>
      </c>
    </row>
    <row r="921" customFormat="false" ht="13.35" hidden="false" customHeight="true" outlineLevel="0" collapsed="false">
      <c r="A921" s="2" t="str">
        <f aca="false">HYPERLINK("https://www.fabsurplus.com/sdi_catalog/salesItemDetails.do?id=87913")</f>
        <v>https://www.fabsurplus.com/sdi_catalog/salesItemDetails.do?id=87913</v>
      </c>
      <c r="B921" s="2" t="s">
        <v>2503</v>
      </c>
      <c r="C921" s="2" t="s">
        <v>2504</v>
      </c>
      <c r="D921" s="2" t="s">
        <v>2502</v>
      </c>
      <c r="E921" s="2" t="s">
        <v>119</v>
      </c>
      <c r="F921" s="2" t="s">
        <v>125</v>
      </c>
      <c r="G921" s="2" t="s">
        <v>121</v>
      </c>
      <c r="H921" s="2" t="s">
        <v>18</v>
      </c>
      <c r="I921" s="2"/>
      <c r="J921" s="2" t="s">
        <v>19</v>
      </c>
      <c r="K921" s="2" t="s">
        <v>20</v>
      </c>
      <c r="L921" s="4" t="s">
        <v>122</v>
      </c>
    </row>
    <row r="922" customFormat="false" ht="13.35" hidden="false" customHeight="true" outlineLevel="0" collapsed="false">
      <c r="A922" s="2" t="str">
        <f aca="false">HYPERLINK("https://www.fabsurplus.com/sdi_catalog/salesItemDetails.do?id=90184")</f>
        <v>https://www.fabsurplus.com/sdi_catalog/salesItemDetails.do?id=90184</v>
      </c>
      <c r="B922" s="2" t="s">
        <v>2505</v>
      </c>
      <c r="C922" s="2" t="s">
        <v>2495</v>
      </c>
      <c r="D922" s="2" t="s">
        <v>2506</v>
      </c>
      <c r="E922" s="2" t="s">
        <v>2497</v>
      </c>
      <c r="F922" s="2" t="s">
        <v>16</v>
      </c>
      <c r="G922" s="2" t="s">
        <v>138</v>
      </c>
      <c r="H922" s="2"/>
      <c r="I922" s="2"/>
      <c r="J922" s="2" t="s">
        <v>19</v>
      </c>
      <c r="K922" s="2"/>
      <c r="L922" s="2" t="s">
        <v>2498</v>
      </c>
    </row>
    <row r="923" customFormat="false" ht="13.35" hidden="false" customHeight="true" outlineLevel="0" collapsed="false">
      <c r="A923" s="2" t="str">
        <f aca="false">HYPERLINK("https://www.fabsurplus.com/sdi_catalog/salesItemDetails.do?id=90186")</f>
        <v>https://www.fabsurplus.com/sdi_catalog/salesItemDetails.do?id=90186</v>
      </c>
      <c r="B923" s="2" t="s">
        <v>2507</v>
      </c>
      <c r="C923" s="2" t="s">
        <v>2495</v>
      </c>
      <c r="D923" s="2" t="s">
        <v>2508</v>
      </c>
      <c r="E923" s="2" t="s">
        <v>2497</v>
      </c>
      <c r="F923" s="2" t="s">
        <v>125</v>
      </c>
      <c r="G923" s="2" t="s">
        <v>138</v>
      </c>
      <c r="H923" s="2"/>
      <c r="I923" s="2"/>
      <c r="J923" s="2" t="s">
        <v>19</v>
      </c>
      <c r="K923" s="2"/>
      <c r="L923" s="2" t="s">
        <v>2498</v>
      </c>
    </row>
    <row r="924" customFormat="false" ht="13.35" hidden="false" customHeight="true" outlineLevel="0" collapsed="false">
      <c r="A924" s="5" t="str">
        <f aca="false">HYPERLINK("https://www.fabsurplus.com/sdi_catalog/salesItemDetails.do?id=87914")</f>
        <v>https://www.fabsurplus.com/sdi_catalog/salesItemDetails.do?id=87914</v>
      </c>
      <c r="B924" s="5" t="s">
        <v>2509</v>
      </c>
      <c r="C924" s="5" t="s">
        <v>2504</v>
      </c>
      <c r="D924" s="5" t="s">
        <v>2510</v>
      </c>
      <c r="E924" s="5" t="s">
        <v>119</v>
      </c>
      <c r="F924" s="5" t="s">
        <v>58</v>
      </c>
      <c r="G924" s="5" t="s">
        <v>121</v>
      </c>
      <c r="H924" s="5" t="s">
        <v>18</v>
      </c>
      <c r="I924" s="5"/>
      <c r="J924" s="5" t="s">
        <v>19</v>
      </c>
      <c r="K924" s="5" t="s">
        <v>20</v>
      </c>
      <c r="L924" s="7" t="s">
        <v>122</v>
      </c>
    </row>
    <row r="925" customFormat="false" ht="13.35" hidden="false" customHeight="true" outlineLevel="0" collapsed="false">
      <c r="A925" s="2" t="str">
        <f aca="false">HYPERLINK("https://www.fabsurplus.com/sdi_catalog/salesItemDetails.do?id=87915")</f>
        <v>https://www.fabsurplus.com/sdi_catalog/salesItemDetails.do?id=87915</v>
      </c>
      <c r="B925" s="2" t="s">
        <v>2511</v>
      </c>
      <c r="C925" s="2" t="s">
        <v>2504</v>
      </c>
      <c r="D925" s="2" t="s">
        <v>2512</v>
      </c>
      <c r="E925" s="2" t="s">
        <v>119</v>
      </c>
      <c r="F925" s="2" t="s">
        <v>16</v>
      </c>
      <c r="G925" s="2" t="s">
        <v>121</v>
      </c>
      <c r="H925" s="2" t="s">
        <v>18</v>
      </c>
      <c r="I925" s="2"/>
      <c r="J925" s="2" t="s">
        <v>19</v>
      </c>
      <c r="K925" s="2" t="s">
        <v>20</v>
      </c>
      <c r="L925" s="4" t="s">
        <v>122</v>
      </c>
    </row>
    <row r="926" customFormat="false" ht="13.35" hidden="false" customHeight="true" outlineLevel="0" collapsed="false">
      <c r="A926" s="5" t="str">
        <f aca="false">HYPERLINK("https://www.fabsurplus.com/sdi_catalog/salesItemDetails.do?id=101799")</f>
        <v>https://www.fabsurplus.com/sdi_catalog/salesItemDetails.do?id=101799</v>
      </c>
      <c r="B926" s="5" t="s">
        <v>2513</v>
      </c>
      <c r="C926" s="5" t="s">
        <v>2495</v>
      </c>
      <c r="D926" s="5" t="s">
        <v>2514</v>
      </c>
      <c r="E926" s="5" t="s">
        <v>2515</v>
      </c>
      <c r="F926" s="5" t="s">
        <v>16</v>
      </c>
      <c r="G926" s="5" t="s">
        <v>17</v>
      </c>
      <c r="H926" s="5"/>
      <c r="I926" s="5"/>
      <c r="J926" s="5" t="s">
        <v>47</v>
      </c>
      <c r="K926" s="5"/>
      <c r="L926" s="5"/>
    </row>
    <row r="927" customFormat="false" ht="13.35" hidden="false" customHeight="true" outlineLevel="0" collapsed="false">
      <c r="A927" s="5" t="str">
        <f aca="false">HYPERLINK("https://www.fabsurplus.com/sdi_catalog/salesItemDetails.do?id=102189")</f>
        <v>https://www.fabsurplus.com/sdi_catalog/salesItemDetails.do?id=102189</v>
      </c>
      <c r="B927" s="5" t="s">
        <v>2516</v>
      </c>
      <c r="C927" s="5" t="s">
        <v>2495</v>
      </c>
      <c r="D927" s="5" t="s">
        <v>2517</v>
      </c>
      <c r="E927" s="5" t="s">
        <v>1124</v>
      </c>
      <c r="F927" s="5" t="s">
        <v>16</v>
      </c>
      <c r="G927" s="5" t="s">
        <v>493</v>
      </c>
      <c r="H927" s="5"/>
      <c r="I927" s="6" t="n">
        <v>38139</v>
      </c>
      <c r="J927" s="5" t="s">
        <v>19</v>
      </c>
      <c r="K927" s="5"/>
      <c r="L927" s="5"/>
    </row>
    <row r="928" customFormat="false" ht="13.35" hidden="false" customHeight="true" outlineLevel="0" collapsed="false">
      <c r="A928" s="2" t="str">
        <f aca="false">HYPERLINK("https://www.fabsurplus.com/sdi_catalog/salesItemDetails.do?id=102190")</f>
        <v>https://www.fabsurplus.com/sdi_catalog/salesItemDetails.do?id=102190</v>
      </c>
      <c r="B928" s="2" t="s">
        <v>2518</v>
      </c>
      <c r="C928" s="2" t="s">
        <v>2495</v>
      </c>
      <c r="D928" s="2" t="s">
        <v>2519</v>
      </c>
      <c r="E928" s="2" t="s">
        <v>2520</v>
      </c>
      <c r="F928" s="2" t="s">
        <v>16</v>
      </c>
      <c r="G928" s="2" t="s">
        <v>17</v>
      </c>
      <c r="H928" s="2"/>
      <c r="I928" s="3" t="n">
        <v>37773</v>
      </c>
      <c r="J928" s="2" t="s">
        <v>19</v>
      </c>
      <c r="K928" s="2"/>
      <c r="L928" s="2"/>
    </row>
    <row r="929" customFormat="false" ht="13.35" hidden="false" customHeight="true" outlineLevel="0" collapsed="false">
      <c r="A929" s="5" t="str">
        <f aca="false">HYPERLINK("https://www.fabsurplus.com/sdi_catalog/salesItemDetails.do?id=102191")</f>
        <v>https://www.fabsurplus.com/sdi_catalog/salesItemDetails.do?id=102191</v>
      </c>
      <c r="B929" s="5" t="s">
        <v>2521</v>
      </c>
      <c r="C929" s="5" t="s">
        <v>2495</v>
      </c>
      <c r="D929" s="5" t="s">
        <v>2522</v>
      </c>
      <c r="E929" s="5" t="s">
        <v>2523</v>
      </c>
      <c r="F929" s="5" t="s">
        <v>16</v>
      </c>
      <c r="G929" s="5" t="s">
        <v>17</v>
      </c>
      <c r="H929" s="5"/>
      <c r="I929" s="5"/>
      <c r="J929" s="5" t="s">
        <v>19</v>
      </c>
      <c r="K929" s="5"/>
      <c r="L929" s="5"/>
    </row>
    <row r="930" customFormat="false" ht="13.35" hidden="false" customHeight="true" outlineLevel="0" collapsed="false">
      <c r="A930" s="5" t="str">
        <f aca="false">HYPERLINK("https://www.fabsurplus.com/sdi_catalog/salesItemDetails.do?id=102193")</f>
        <v>https://www.fabsurplus.com/sdi_catalog/salesItemDetails.do?id=102193</v>
      </c>
      <c r="B930" s="5" t="s">
        <v>2524</v>
      </c>
      <c r="C930" s="5" t="s">
        <v>2495</v>
      </c>
      <c r="D930" s="5" t="s">
        <v>2522</v>
      </c>
      <c r="E930" s="5" t="s">
        <v>2525</v>
      </c>
      <c r="F930" s="5" t="s">
        <v>16</v>
      </c>
      <c r="G930" s="5" t="s">
        <v>17</v>
      </c>
      <c r="H930" s="5"/>
      <c r="I930" s="6" t="n">
        <v>37773</v>
      </c>
      <c r="J930" s="5" t="s">
        <v>19</v>
      </c>
      <c r="K930" s="5"/>
      <c r="L930" s="5"/>
    </row>
    <row r="931" customFormat="false" ht="13.35" hidden="false" customHeight="true" outlineLevel="0" collapsed="false">
      <c r="A931" s="2" t="str">
        <f aca="false">HYPERLINK("https://www.fabsurplus.com/sdi_catalog/salesItemDetails.do?id=102192")</f>
        <v>https://www.fabsurplus.com/sdi_catalog/salesItemDetails.do?id=102192</v>
      </c>
      <c r="B931" s="2" t="s">
        <v>2526</v>
      </c>
      <c r="C931" s="2" t="s">
        <v>2495</v>
      </c>
      <c r="D931" s="2" t="s">
        <v>2522</v>
      </c>
      <c r="E931" s="2" t="s">
        <v>2527</v>
      </c>
      <c r="F931" s="2" t="s">
        <v>16</v>
      </c>
      <c r="G931" s="2" t="s">
        <v>17</v>
      </c>
      <c r="H931" s="2"/>
      <c r="I931" s="3" t="n">
        <v>38504</v>
      </c>
      <c r="J931" s="2" t="s">
        <v>19</v>
      </c>
      <c r="K931" s="2"/>
      <c r="L931" s="2"/>
    </row>
    <row r="932" customFormat="false" ht="13.35" hidden="false" customHeight="true" outlineLevel="0" collapsed="false">
      <c r="A932" s="2" t="str">
        <f aca="false">HYPERLINK("https://www.fabsurplus.com/sdi_catalog/salesItemDetails.do?id=102194")</f>
        <v>https://www.fabsurplus.com/sdi_catalog/salesItemDetails.do?id=102194</v>
      </c>
      <c r="B932" s="2" t="s">
        <v>2528</v>
      </c>
      <c r="C932" s="2" t="s">
        <v>2495</v>
      </c>
      <c r="D932" s="2" t="s">
        <v>2529</v>
      </c>
      <c r="E932" s="2" t="s">
        <v>2515</v>
      </c>
      <c r="F932" s="2" t="s">
        <v>16</v>
      </c>
      <c r="G932" s="2" t="s">
        <v>17</v>
      </c>
      <c r="H932" s="2"/>
      <c r="I932" s="3" t="n">
        <v>39234</v>
      </c>
      <c r="J932" s="2" t="s">
        <v>19</v>
      </c>
      <c r="K932" s="2"/>
      <c r="L932" s="2"/>
    </row>
    <row r="933" customFormat="false" ht="13.35" hidden="false" customHeight="true" outlineLevel="0" collapsed="false">
      <c r="A933" s="5" t="str">
        <f aca="false">HYPERLINK("https://www.fabsurplus.com/sdi_catalog/salesItemDetails.do?id=101621")</f>
        <v>https://www.fabsurplus.com/sdi_catalog/salesItemDetails.do?id=101621</v>
      </c>
      <c r="B933" s="5" t="s">
        <v>2530</v>
      </c>
      <c r="C933" s="5" t="s">
        <v>2495</v>
      </c>
      <c r="D933" s="5" t="s">
        <v>2531</v>
      </c>
      <c r="E933" s="5" t="s">
        <v>2532</v>
      </c>
      <c r="F933" s="5" t="s">
        <v>16</v>
      </c>
      <c r="G933" s="5" t="s">
        <v>17</v>
      </c>
      <c r="H933" s="5"/>
      <c r="I933" s="5"/>
      <c r="J933" s="5" t="s">
        <v>19</v>
      </c>
      <c r="K933" s="5"/>
      <c r="L933" s="5"/>
    </row>
    <row r="934" customFormat="false" ht="13.35" hidden="false" customHeight="true" outlineLevel="0" collapsed="false">
      <c r="A934" s="5" t="str">
        <f aca="false">HYPERLINK("https://www.fabsurplus.com/sdi_catalog/salesItemDetails.do?id=98461")</f>
        <v>https://www.fabsurplus.com/sdi_catalog/salesItemDetails.do?id=98461</v>
      </c>
      <c r="B934" s="5" t="s">
        <v>2533</v>
      </c>
      <c r="C934" s="5" t="s">
        <v>2504</v>
      </c>
      <c r="D934" s="5" t="s">
        <v>2534</v>
      </c>
      <c r="E934" s="5" t="s">
        <v>2535</v>
      </c>
      <c r="F934" s="5" t="s">
        <v>16</v>
      </c>
      <c r="G934" s="5" t="s">
        <v>658</v>
      </c>
      <c r="H934" s="5"/>
      <c r="I934" s="5"/>
      <c r="J934" s="5" t="s">
        <v>19</v>
      </c>
      <c r="K934" s="5"/>
      <c r="L934" s="5" t="s">
        <v>1417</v>
      </c>
    </row>
    <row r="935" customFormat="false" ht="13.35" hidden="false" customHeight="true" outlineLevel="0" collapsed="false">
      <c r="A935" s="2" t="str">
        <f aca="false">HYPERLINK("https://www.fabsurplus.com/sdi_catalog/salesItemDetails.do?id=98460")</f>
        <v>https://www.fabsurplus.com/sdi_catalog/salesItemDetails.do?id=98460</v>
      </c>
      <c r="B935" s="2" t="s">
        <v>2536</v>
      </c>
      <c r="C935" s="2" t="s">
        <v>2504</v>
      </c>
      <c r="D935" s="2" t="s">
        <v>2534</v>
      </c>
      <c r="E935" s="2" t="s">
        <v>2537</v>
      </c>
      <c r="F935" s="2" t="s">
        <v>16</v>
      </c>
      <c r="G935" s="2" t="s">
        <v>658</v>
      </c>
      <c r="H935" s="2" t="s">
        <v>26</v>
      </c>
      <c r="I935" s="2"/>
      <c r="J935" s="2" t="s">
        <v>19</v>
      </c>
      <c r="K935" s="2" t="s">
        <v>20</v>
      </c>
      <c r="L935" s="4" t="s">
        <v>2538</v>
      </c>
    </row>
    <row r="936" customFormat="false" ht="13.35" hidden="false" customHeight="true" outlineLevel="0" collapsed="false">
      <c r="A936" s="5" t="str">
        <f aca="false">HYPERLINK("https://www.fabsurplus.com/sdi_catalog/salesItemDetails.do?id=103085")</f>
        <v>https://www.fabsurplus.com/sdi_catalog/salesItemDetails.do?id=103085</v>
      </c>
      <c r="B936" s="5" t="s">
        <v>2539</v>
      </c>
      <c r="C936" s="5" t="s">
        <v>2504</v>
      </c>
      <c r="D936" s="5" t="s">
        <v>2540</v>
      </c>
      <c r="E936" s="5" t="s">
        <v>1248</v>
      </c>
      <c r="F936" s="5" t="s">
        <v>16</v>
      </c>
      <c r="G936" s="5" t="s">
        <v>658</v>
      </c>
      <c r="H936" s="5"/>
      <c r="I936" s="6" t="n">
        <v>37408</v>
      </c>
      <c r="J936" s="5" t="s">
        <v>19</v>
      </c>
      <c r="K936" s="5"/>
      <c r="L936" s="7" t="s">
        <v>2541</v>
      </c>
    </row>
    <row r="937" customFormat="false" ht="13.35" hidden="false" customHeight="true" outlineLevel="0" collapsed="false">
      <c r="A937" s="2" t="str">
        <f aca="false">HYPERLINK("https://www.fabsurplus.com/sdi_catalog/salesItemDetails.do?id=103086")</f>
        <v>https://www.fabsurplus.com/sdi_catalog/salesItemDetails.do?id=103086</v>
      </c>
      <c r="B937" s="2" t="s">
        <v>2542</v>
      </c>
      <c r="C937" s="2" t="s">
        <v>2504</v>
      </c>
      <c r="D937" s="2" t="s">
        <v>2543</v>
      </c>
      <c r="E937" s="2" t="s">
        <v>2544</v>
      </c>
      <c r="F937" s="2" t="s">
        <v>16</v>
      </c>
      <c r="G937" s="2" t="s">
        <v>658</v>
      </c>
      <c r="H937" s="2"/>
      <c r="I937" s="3" t="n">
        <v>42156</v>
      </c>
      <c r="J937" s="2" t="s">
        <v>19</v>
      </c>
      <c r="K937" s="2"/>
      <c r="L937" s="4" t="s">
        <v>2545</v>
      </c>
    </row>
    <row r="938" customFormat="false" ht="13.35" hidden="false" customHeight="true" outlineLevel="0" collapsed="false">
      <c r="A938" s="5" t="str">
        <f aca="false">HYPERLINK("https://www.fabsurplus.com/sdi_catalog/salesItemDetails.do?id=103087")</f>
        <v>https://www.fabsurplus.com/sdi_catalog/salesItemDetails.do?id=103087</v>
      </c>
      <c r="B938" s="5" t="s">
        <v>2546</v>
      </c>
      <c r="C938" s="5" t="s">
        <v>2504</v>
      </c>
      <c r="D938" s="5" t="s">
        <v>2543</v>
      </c>
      <c r="E938" s="5" t="s">
        <v>2544</v>
      </c>
      <c r="F938" s="5" t="s">
        <v>16</v>
      </c>
      <c r="G938" s="5" t="s">
        <v>658</v>
      </c>
      <c r="H938" s="5"/>
      <c r="I938" s="6" t="n">
        <v>42186</v>
      </c>
      <c r="J938" s="5" t="s">
        <v>19</v>
      </c>
      <c r="K938" s="5"/>
      <c r="L938" s="7" t="s">
        <v>2547</v>
      </c>
    </row>
    <row r="939" customFormat="false" ht="13.35" hidden="false" customHeight="true" outlineLevel="0" collapsed="false">
      <c r="A939" s="5" t="str">
        <f aca="false">HYPERLINK("https://www.fabsurplus.com/sdi_catalog/salesItemDetails.do?id=103153")</f>
        <v>https://www.fabsurplus.com/sdi_catalog/salesItemDetails.do?id=103153</v>
      </c>
      <c r="B939" s="5" t="s">
        <v>2548</v>
      </c>
      <c r="C939" s="5" t="s">
        <v>2549</v>
      </c>
      <c r="D939" s="5" t="s">
        <v>2550</v>
      </c>
      <c r="E939" s="5" t="s">
        <v>2551</v>
      </c>
      <c r="F939" s="5" t="s">
        <v>16</v>
      </c>
      <c r="G939" s="5"/>
      <c r="H939" s="5"/>
      <c r="I939" s="5"/>
      <c r="J939" s="5" t="s">
        <v>47</v>
      </c>
      <c r="K939" s="5"/>
      <c r="L939" s="5"/>
    </row>
    <row r="940" customFormat="false" ht="13.35" hidden="false" customHeight="true" outlineLevel="0" collapsed="false">
      <c r="A940" s="2" t="str">
        <f aca="false">HYPERLINK("https://www.fabsurplus.com/sdi_catalog/salesItemDetails.do?id=103154")</f>
        <v>https://www.fabsurplus.com/sdi_catalog/salesItemDetails.do?id=103154</v>
      </c>
      <c r="B940" s="2" t="s">
        <v>2552</v>
      </c>
      <c r="C940" s="2" t="s">
        <v>2549</v>
      </c>
      <c r="D940" s="2" t="s">
        <v>2553</v>
      </c>
      <c r="E940" s="2" t="s">
        <v>2554</v>
      </c>
      <c r="F940" s="2" t="s">
        <v>16</v>
      </c>
      <c r="G940" s="2"/>
      <c r="H940" s="2"/>
      <c r="I940" s="2"/>
      <c r="J940" s="2" t="s">
        <v>47</v>
      </c>
      <c r="K940" s="2"/>
      <c r="L940" s="2"/>
    </row>
    <row r="941" customFormat="false" ht="13.35" hidden="false" customHeight="true" outlineLevel="0" collapsed="false">
      <c r="A941" s="5" t="str">
        <f aca="false">HYPERLINK("https://www.fabsurplus.com/sdi_catalog/salesItemDetails.do?id=97852")</f>
        <v>https://www.fabsurplus.com/sdi_catalog/salesItemDetails.do?id=97852</v>
      </c>
      <c r="B941" s="5" t="s">
        <v>2555</v>
      </c>
      <c r="C941" s="5" t="s">
        <v>2556</v>
      </c>
      <c r="D941" s="5" t="s">
        <v>2557</v>
      </c>
      <c r="E941" s="5" t="s">
        <v>421</v>
      </c>
      <c r="F941" s="5" t="s">
        <v>16</v>
      </c>
      <c r="G941" s="5"/>
      <c r="H941" s="5"/>
      <c r="I941" s="5"/>
      <c r="J941" s="5" t="s">
        <v>19</v>
      </c>
      <c r="K941" s="5"/>
      <c r="L941" s="5"/>
    </row>
    <row r="942" customFormat="false" ht="13.35" hidden="false" customHeight="true" outlineLevel="0" collapsed="false">
      <c r="A942" s="5" t="str">
        <f aca="false">HYPERLINK("https://www.fabsurplus.com/sdi_catalog/salesItemDetails.do?id=87922")</f>
        <v>https://www.fabsurplus.com/sdi_catalog/salesItemDetails.do?id=87922</v>
      </c>
      <c r="B942" s="5" t="s">
        <v>2558</v>
      </c>
      <c r="C942" s="5" t="s">
        <v>2559</v>
      </c>
      <c r="D942" s="5" t="s">
        <v>2560</v>
      </c>
      <c r="E942" s="5" t="s">
        <v>119</v>
      </c>
      <c r="F942" s="5" t="s">
        <v>16</v>
      </c>
      <c r="G942" s="5" t="s">
        <v>121</v>
      </c>
      <c r="H942" s="5" t="s">
        <v>18</v>
      </c>
      <c r="I942" s="5"/>
      <c r="J942" s="5" t="s">
        <v>19</v>
      </c>
      <c r="K942" s="5" t="s">
        <v>20</v>
      </c>
      <c r="L942" s="7" t="s">
        <v>122</v>
      </c>
    </row>
    <row r="943" customFormat="false" ht="13.35" hidden="false" customHeight="true" outlineLevel="0" collapsed="false">
      <c r="A943" s="2" t="str">
        <f aca="false">HYPERLINK("https://www.fabsurplus.com/sdi_catalog/salesItemDetails.do?id=87923")</f>
        <v>https://www.fabsurplus.com/sdi_catalog/salesItemDetails.do?id=87923</v>
      </c>
      <c r="B943" s="2" t="s">
        <v>2561</v>
      </c>
      <c r="C943" s="2" t="s">
        <v>2559</v>
      </c>
      <c r="D943" s="2" t="s">
        <v>2562</v>
      </c>
      <c r="E943" s="2" t="s">
        <v>119</v>
      </c>
      <c r="F943" s="2" t="s">
        <v>2000</v>
      </c>
      <c r="G943" s="2" t="s">
        <v>121</v>
      </c>
      <c r="H943" s="2" t="s">
        <v>18</v>
      </c>
      <c r="I943" s="2"/>
      <c r="J943" s="2" t="s">
        <v>19</v>
      </c>
      <c r="K943" s="2" t="s">
        <v>20</v>
      </c>
      <c r="L943" s="4" t="s">
        <v>122</v>
      </c>
    </row>
    <row r="944" customFormat="false" ht="13.35" hidden="false" customHeight="true" outlineLevel="0" collapsed="false">
      <c r="A944" s="5" t="str">
        <f aca="false">HYPERLINK("https://www.fabsurplus.com/sdi_catalog/salesItemDetails.do?id=87924")</f>
        <v>https://www.fabsurplus.com/sdi_catalog/salesItemDetails.do?id=87924</v>
      </c>
      <c r="B944" s="5" t="s">
        <v>2563</v>
      </c>
      <c r="C944" s="5" t="s">
        <v>2559</v>
      </c>
      <c r="D944" s="5" t="s">
        <v>2564</v>
      </c>
      <c r="E944" s="5" t="s">
        <v>119</v>
      </c>
      <c r="F944" s="5" t="s">
        <v>58</v>
      </c>
      <c r="G944" s="5" t="s">
        <v>121</v>
      </c>
      <c r="H944" s="5" t="s">
        <v>18</v>
      </c>
      <c r="I944" s="5"/>
      <c r="J944" s="5" t="s">
        <v>19</v>
      </c>
      <c r="K944" s="5" t="s">
        <v>20</v>
      </c>
      <c r="L944" s="7" t="s">
        <v>122</v>
      </c>
    </row>
    <row r="945" customFormat="false" ht="13.35" hidden="false" customHeight="true" outlineLevel="0" collapsed="false">
      <c r="A945" s="2" t="str">
        <f aca="false">HYPERLINK("https://www.fabsurplus.com/sdi_catalog/salesItemDetails.do?id=87925")</f>
        <v>https://www.fabsurplus.com/sdi_catalog/salesItemDetails.do?id=87925</v>
      </c>
      <c r="B945" s="2" t="s">
        <v>2565</v>
      </c>
      <c r="C945" s="2" t="s">
        <v>2559</v>
      </c>
      <c r="D945" s="2" t="s">
        <v>2566</v>
      </c>
      <c r="E945" s="2" t="s">
        <v>119</v>
      </c>
      <c r="F945" s="2" t="s">
        <v>51</v>
      </c>
      <c r="G945" s="2" t="s">
        <v>121</v>
      </c>
      <c r="H945" s="2" t="s">
        <v>18</v>
      </c>
      <c r="I945" s="2"/>
      <c r="J945" s="2" t="s">
        <v>19</v>
      </c>
      <c r="K945" s="2" t="s">
        <v>20</v>
      </c>
      <c r="L945" s="4" t="s">
        <v>122</v>
      </c>
    </row>
    <row r="946" customFormat="false" ht="13.35" hidden="false" customHeight="true" outlineLevel="0" collapsed="false">
      <c r="A946" s="5" t="str">
        <f aca="false">HYPERLINK("https://www.fabsurplus.com/sdi_catalog/salesItemDetails.do?id=87921")</f>
        <v>https://www.fabsurplus.com/sdi_catalog/salesItemDetails.do?id=87921</v>
      </c>
      <c r="B946" s="5" t="s">
        <v>2567</v>
      </c>
      <c r="C946" s="5" t="s">
        <v>2559</v>
      </c>
      <c r="D946" s="5" t="s">
        <v>2568</v>
      </c>
      <c r="E946" s="5" t="s">
        <v>119</v>
      </c>
      <c r="F946" s="5" t="s">
        <v>16</v>
      </c>
      <c r="G946" s="5" t="s">
        <v>121</v>
      </c>
      <c r="H946" s="5" t="s">
        <v>18</v>
      </c>
      <c r="I946" s="5"/>
      <c r="J946" s="5" t="s">
        <v>19</v>
      </c>
      <c r="K946" s="5" t="s">
        <v>20</v>
      </c>
      <c r="L946" s="7" t="s">
        <v>122</v>
      </c>
    </row>
    <row r="947" customFormat="false" ht="13.35" hidden="false" customHeight="true" outlineLevel="0" collapsed="false">
      <c r="A947" s="5" t="str">
        <f aca="false">HYPERLINK("https://www.fabsurplus.com/sdi_catalog/salesItemDetails.do?id=87926")</f>
        <v>https://www.fabsurplus.com/sdi_catalog/salesItemDetails.do?id=87926</v>
      </c>
      <c r="B947" s="5" t="s">
        <v>2569</v>
      </c>
      <c r="C947" s="5" t="s">
        <v>2559</v>
      </c>
      <c r="D947" s="5" t="s">
        <v>2570</v>
      </c>
      <c r="E947" s="5" t="s">
        <v>119</v>
      </c>
      <c r="F947" s="5" t="s">
        <v>58</v>
      </c>
      <c r="G947" s="5" t="s">
        <v>121</v>
      </c>
      <c r="H947" s="5" t="s">
        <v>18</v>
      </c>
      <c r="I947" s="5"/>
      <c r="J947" s="5" t="s">
        <v>19</v>
      </c>
      <c r="K947" s="5" t="s">
        <v>20</v>
      </c>
      <c r="L947" s="7" t="s">
        <v>122</v>
      </c>
    </row>
    <row r="948" customFormat="false" ht="13.35" hidden="false" customHeight="true" outlineLevel="0" collapsed="false">
      <c r="A948" s="2" t="str">
        <f aca="false">HYPERLINK("https://www.fabsurplus.com/sdi_catalog/salesItemDetails.do?id=90181")</f>
        <v>https://www.fabsurplus.com/sdi_catalog/salesItemDetails.do?id=90181</v>
      </c>
      <c r="B948" s="2" t="s">
        <v>2571</v>
      </c>
      <c r="C948" s="2" t="s">
        <v>2572</v>
      </c>
      <c r="D948" s="2" t="s">
        <v>2573</v>
      </c>
      <c r="E948" s="2" t="s">
        <v>2574</v>
      </c>
      <c r="F948" s="2" t="s">
        <v>125</v>
      </c>
      <c r="G948" s="2" t="s">
        <v>138</v>
      </c>
      <c r="H948" s="2"/>
      <c r="I948" s="2"/>
      <c r="J948" s="2" t="s">
        <v>19</v>
      </c>
      <c r="K948" s="2"/>
      <c r="L948" s="2" t="s">
        <v>2498</v>
      </c>
    </row>
    <row r="949" customFormat="false" ht="13.35" hidden="false" customHeight="true" outlineLevel="0" collapsed="false">
      <c r="A949" s="2" t="str">
        <f aca="false">HYPERLINK("https://www.fabsurplus.com/sdi_catalog/salesItemDetails.do?id=87927")</f>
        <v>https://www.fabsurplus.com/sdi_catalog/salesItemDetails.do?id=87927</v>
      </c>
      <c r="B949" s="2" t="s">
        <v>2575</v>
      </c>
      <c r="C949" s="2" t="s">
        <v>2559</v>
      </c>
      <c r="D949" s="2" t="s">
        <v>2576</v>
      </c>
      <c r="E949" s="2" t="s">
        <v>119</v>
      </c>
      <c r="F949" s="2" t="s">
        <v>16</v>
      </c>
      <c r="G949" s="2" t="s">
        <v>121</v>
      </c>
      <c r="H949" s="2" t="s">
        <v>18</v>
      </c>
      <c r="I949" s="2"/>
      <c r="J949" s="2" t="s">
        <v>19</v>
      </c>
      <c r="K949" s="2" t="s">
        <v>20</v>
      </c>
      <c r="L949" s="4" t="s">
        <v>122</v>
      </c>
    </row>
    <row r="950" customFormat="false" ht="13.35" hidden="false" customHeight="true" outlineLevel="0" collapsed="false">
      <c r="A950" s="5" t="str">
        <f aca="false">HYPERLINK("https://www.fabsurplus.com/sdi_catalog/salesItemDetails.do?id=87928")</f>
        <v>https://www.fabsurplus.com/sdi_catalog/salesItemDetails.do?id=87928</v>
      </c>
      <c r="B950" s="5" t="s">
        <v>2577</v>
      </c>
      <c r="C950" s="5" t="s">
        <v>2559</v>
      </c>
      <c r="D950" s="5" t="s">
        <v>2578</v>
      </c>
      <c r="E950" s="5" t="s">
        <v>119</v>
      </c>
      <c r="F950" s="5" t="s">
        <v>16</v>
      </c>
      <c r="G950" s="5" t="s">
        <v>121</v>
      </c>
      <c r="H950" s="5" t="s">
        <v>18</v>
      </c>
      <c r="I950" s="5"/>
      <c r="J950" s="5" t="s">
        <v>19</v>
      </c>
      <c r="K950" s="5" t="s">
        <v>20</v>
      </c>
      <c r="L950" s="7" t="s">
        <v>122</v>
      </c>
    </row>
    <row r="951" customFormat="false" ht="13.35" hidden="false" customHeight="true" outlineLevel="0" collapsed="false">
      <c r="A951" s="2" t="str">
        <f aca="false">HYPERLINK("https://www.fabsurplus.com/sdi_catalog/salesItemDetails.do?id=101905")</f>
        <v>https://www.fabsurplus.com/sdi_catalog/salesItemDetails.do?id=101905</v>
      </c>
      <c r="B951" s="2" t="s">
        <v>2579</v>
      </c>
      <c r="C951" s="2" t="s">
        <v>2559</v>
      </c>
      <c r="D951" s="2" t="s">
        <v>2580</v>
      </c>
      <c r="E951" s="2" t="s">
        <v>565</v>
      </c>
      <c r="F951" s="2" t="s">
        <v>16</v>
      </c>
      <c r="G951" s="2"/>
      <c r="H951" s="2"/>
      <c r="I951" s="3" t="n">
        <v>42156</v>
      </c>
      <c r="J951" s="2" t="s">
        <v>19</v>
      </c>
      <c r="K951" s="2"/>
      <c r="L951" s="2" t="s">
        <v>161</v>
      </c>
    </row>
    <row r="952" customFormat="false" ht="13.35" hidden="false" customHeight="true" outlineLevel="0" collapsed="false">
      <c r="A952" s="2" t="str">
        <f aca="false">HYPERLINK("https://www.fabsurplus.com/sdi_catalog/salesItemDetails.do?id=98388")</f>
        <v>https://www.fabsurplus.com/sdi_catalog/salesItemDetails.do?id=98388</v>
      </c>
      <c r="B952" s="2" t="s">
        <v>2581</v>
      </c>
      <c r="C952" s="2" t="s">
        <v>2559</v>
      </c>
      <c r="D952" s="2" t="s">
        <v>2582</v>
      </c>
      <c r="E952" s="2" t="s">
        <v>2583</v>
      </c>
      <c r="F952" s="2" t="s">
        <v>16</v>
      </c>
      <c r="G952" s="2"/>
      <c r="H952" s="2"/>
      <c r="I952" s="2"/>
      <c r="J952" s="2" t="s">
        <v>19</v>
      </c>
      <c r="K952" s="2"/>
      <c r="L952" s="2" t="s">
        <v>893</v>
      </c>
    </row>
    <row r="953" customFormat="false" ht="13.35" hidden="false" customHeight="true" outlineLevel="0" collapsed="false">
      <c r="A953" s="2" t="str">
        <f aca="false">HYPERLINK("https://www.fabsurplus.com/sdi_catalog/salesItemDetails.do?id=87929")</f>
        <v>https://www.fabsurplus.com/sdi_catalog/salesItemDetails.do?id=87929</v>
      </c>
      <c r="B953" s="2" t="s">
        <v>2584</v>
      </c>
      <c r="C953" s="2" t="s">
        <v>2559</v>
      </c>
      <c r="D953" s="2" t="s">
        <v>2585</v>
      </c>
      <c r="E953" s="2" t="s">
        <v>119</v>
      </c>
      <c r="F953" s="2" t="s">
        <v>1538</v>
      </c>
      <c r="G953" s="2" t="s">
        <v>121</v>
      </c>
      <c r="H953" s="2" t="s">
        <v>18</v>
      </c>
      <c r="I953" s="2"/>
      <c r="J953" s="2" t="s">
        <v>19</v>
      </c>
      <c r="K953" s="2" t="s">
        <v>20</v>
      </c>
      <c r="L953" s="4" t="s">
        <v>122</v>
      </c>
    </row>
    <row r="954" customFormat="false" ht="13.35" hidden="false" customHeight="true" outlineLevel="0" collapsed="false">
      <c r="A954" s="5" t="str">
        <f aca="false">HYPERLINK("https://www.fabsurplus.com/sdi_catalog/salesItemDetails.do?id=87930")</f>
        <v>https://www.fabsurplus.com/sdi_catalog/salesItemDetails.do?id=87930</v>
      </c>
      <c r="B954" s="5" t="s">
        <v>2586</v>
      </c>
      <c r="C954" s="5" t="s">
        <v>2559</v>
      </c>
      <c r="D954" s="5" t="s">
        <v>2587</v>
      </c>
      <c r="E954" s="5" t="s">
        <v>119</v>
      </c>
      <c r="F954" s="5" t="s">
        <v>393</v>
      </c>
      <c r="G954" s="5" t="s">
        <v>121</v>
      </c>
      <c r="H954" s="5" t="s">
        <v>96</v>
      </c>
      <c r="I954" s="5"/>
      <c r="J954" s="5" t="s">
        <v>403</v>
      </c>
      <c r="K954" s="5" t="s">
        <v>20</v>
      </c>
      <c r="L954" s="7" t="s">
        <v>2588</v>
      </c>
    </row>
    <row r="955" customFormat="false" ht="13.35" hidden="false" customHeight="true" outlineLevel="0" collapsed="false">
      <c r="A955" s="5" t="str">
        <f aca="false">HYPERLINK("https://www.fabsurplus.com/sdi_catalog/salesItemDetails.do?id=101906")</f>
        <v>https://www.fabsurplus.com/sdi_catalog/salesItemDetails.do?id=101906</v>
      </c>
      <c r="B955" s="5" t="s">
        <v>2589</v>
      </c>
      <c r="C955" s="5" t="s">
        <v>2559</v>
      </c>
      <c r="D955" s="5" t="s">
        <v>2590</v>
      </c>
      <c r="E955" s="5" t="s">
        <v>565</v>
      </c>
      <c r="F955" s="5" t="s">
        <v>16</v>
      </c>
      <c r="G955" s="5"/>
      <c r="H955" s="5"/>
      <c r="I955" s="5"/>
      <c r="J955" s="5" t="s">
        <v>19</v>
      </c>
      <c r="K955" s="5"/>
      <c r="L955" s="5" t="s">
        <v>161</v>
      </c>
    </row>
    <row r="956" customFormat="false" ht="13.35" hidden="false" customHeight="true" outlineLevel="0" collapsed="false">
      <c r="A956" s="2" t="str">
        <f aca="false">HYPERLINK("https://www.fabsurplus.com/sdi_catalog/salesItemDetails.do?id=87931")</f>
        <v>https://www.fabsurplus.com/sdi_catalog/salesItemDetails.do?id=87931</v>
      </c>
      <c r="B956" s="2" t="s">
        <v>2591</v>
      </c>
      <c r="C956" s="2" t="s">
        <v>2559</v>
      </c>
      <c r="D956" s="2" t="s">
        <v>2590</v>
      </c>
      <c r="E956" s="2" t="s">
        <v>119</v>
      </c>
      <c r="F956" s="2" t="s">
        <v>137</v>
      </c>
      <c r="G956" s="2" t="s">
        <v>121</v>
      </c>
      <c r="H956" s="2" t="s">
        <v>18</v>
      </c>
      <c r="I956" s="2"/>
      <c r="J956" s="2" t="s">
        <v>19</v>
      </c>
      <c r="K956" s="2" t="s">
        <v>20</v>
      </c>
      <c r="L956" s="4" t="s">
        <v>122</v>
      </c>
    </row>
    <row r="957" customFormat="false" ht="13.35" hidden="false" customHeight="true" outlineLevel="0" collapsed="false">
      <c r="A957" s="5" t="str">
        <f aca="false">HYPERLINK("https://www.fabsurplus.com/sdi_catalog/salesItemDetails.do?id=101907")</f>
        <v>https://www.fabsurplus.com/sdi_catalog/salesItemDetails.do?id=101907</v>
      </c>
      <c r="B957" s="5" t="s">
        <v>2592</v>
      </c>
      <c r="C957" s="5" t="s">
        <v>2559</v>
      </c>
      <c r="D957" s="5" t="s">
        <v>2593</v>
      </c>
      <c r="E957" s="5" t="s">
        <v>565</v>
      </c>
      <c r="F957" s="5" t="s">
        <v>16</v>
      </c>
      <c r="G957" s="5"/>
      <c r="H957" s="5"/>
      <c r="I957" s="5"/>
      <c r="J957" s="5" t="s">
        <v>19</v>
      </c>
      <c r="K957" s="5"/>
      <c r="L957" s="5" t="s">
        <v>161</v>
      </c>
    </row>
    <row r="958" customFormat="false" ht="13.35" hidden="false" customHeight="true" outlineLevel="0" collapsed="false">
      <c r="A958" s="2" t="str">
        <f aca="false">HYPERLINK("https://www.fabsurplus.com/sdi_catalog/salesItemDetails.do?id=101908")</f>
        <v>https://www.fabsurplus.com/sdi_catalog/salesItemDetails.do?id=101908</v>
      </c>
      <c r="B958" s="2" t="s">
        <v>2594</v>
      </c>
      <c r="C958" s="2" t="s">
        <v>2559</v>
      </c>
      <c r="D958" s="2" t="s">
        <v>2595</v>
      </c>
      <c r="E958" s="2" t="s">
        <v>565</v>
      </c>
      <c r="F958" s="2" t="s">
        <v>16</v>
      </c>
      <c r="G958" s="2"/>
      <c r="H958" s="2"/>
      <c r="I958" s="2"/>
      <c r="J958" s="2" t="s">
        <v>19</v>
      </c>
      <c r="K958" s="2"/>
      <c r="L958" s="2" t="s">
        <v>161</v>
      </c>
    </row>
    <row r="959" customFormat="false" ht="13.35" hidden="false" customHeight="true" outlineLevel="0" collapsed="false">
      <c r="A959" s="5" t="str">
        <f aca="false">HYPERLINK("https://www.fabsurplus.com/sdi_catalog/salesItemDetails.do?id=101335")</f>
        <v>https://www.fabsurplus.com/sdi_catalog/salesItemDetails.do?id=101335</v>
      </c>
      <c r="B959" s="5" t="s">
        <v>2596</v>
      </c>
      <c r="C959" s="5" t="s">
        <v>2559</v>
      </c>
      <c r="D959" s="5" t="s">
        <v>2597</v>
      </c>
      <c r="E959" s="5" t="s">
        <v>2583</v>
      </c>
      <c r="F959" s="5" t="s">
        <v>16</v>
      </c>
      <c r="G959" s="5" t="s">
        <v>138</v>
      </c>
      <c r="H959" s="5"/>
      <c r="I959" s="5"/>
      <c r="J959" s="5" t="s">
        <v>19</v>
      </c>
      <c r="K959" s="5"/>
      <c r="L959" s="5"/>
    </row>
    <row r="960" customFormat="false" ht="13.35" hidden="false" customHeight="true" outlineLevel="0" collapsed="false">
      <c r="A960" s="2" t="str">
        <f aca="false">HYPERLINK("https://www.fabsurplus.com/sdi_catalog/salesItemDetails.do?id=90180")</f>
        <v>https://www.fabsurplus.com/sdi_catalog/salesItemDetails.do?id=90180</v>
      </c>
      <c r="B960" s="2" t="s">
        <v>2598</v>
      </c>
      <c r="C960" s="2" t="s">
        <v>2572</v>
      </c>
      <c r="D960" s="2" t="s">
        <v>2599</v>
      </c>
      <c r="E960" s="2" t="s">
        <v>2574</v>
      </c>
      <c r="F960" s="2" t="s">
        <v>366</v>
      </c>
      <c r="G960" s="2" t="s">
        <v>138</v>
      </c>
      <c r="H960" s="2" t="s">
        <v>26</v>
      </c>
      <c r="I960" s="3" t="n">
        <v>40940</v>
      </c>
      <c r="J960" s="2" t="s">
        <v>19</v>
      </c>
      <c r="K960" s="2" t="s">
        <v>20</v>
      </c>
      <c r="L960" s="4" t="s">
        <v>2600</v>
      </c>
    </row>
    <row r="961" customFormat="false" ht="13.35" hidden="false" customHeight="true" outlineLevel="0" collapsed="false">
      <c r="A961" s="5" t="str">
        <f aca="false">HYPERLINK("https://www.fabsurplus.com/sdi_catalog/salesItemDetails.do?id=101909")</f>
        <v>https://www.fabsurplus.com/sdi_catalog/salesItemDetails.do?id=101909</v>
      </c>
      <c r="B961" s="5" t="s">
        <v>2601</v>
      </c>
      <c r="C961" s="5" t="s">
        <v>2559</v>
      </c>
      <c r="D961" s="5" t="s">
        <v>2602</v>
      </c>
      <c r="E961" s="5" t="s">
        <v>565</v>
      </c>
      <c r="F961" s="5" t="s">
        <v>16</v>
      </c>
      <c r="G961" s="5"/>
      <c r="H961" s="5"/>
      <c r="I961" s="5"/>
      <c r="J961" s="5" t="s">
        <v>19</v>
      </c>
      <c r="K961" s="5"/>
      <c r="L961" s="5" t="s">
        <v>161</v>
      </c>
    </row>
    <row r="962" customFormat="false" ht="13.35" hidden="false" customHeight="true" outlineLevel="0" collapsed="false">
      <c r="A962" s="2" t="str">
        <f aca="false">HYPERLINK("https://www.fabsurplus.com/sdi_catalog/salesItemDetails.do?id=90193")</f>
        <v>https://www.fabsurplus.com/sdi_catalog/salesItemDetails.do?id=90193</v>
      </c>
      <c r="B962" s="2" t="s">
        <v>2603</v>
      </c>
      <c r="C962" s="2" t="s">
        <v>2572</v>
      </c>
      <c r="D962" s="2" t="s">
        <v>2604</v>
      </c>
      <c r="E962" s="2" t="s">
        <v>2497</v>
      </c>
      <c r="F962" s="2" t="s">
        <v>16</v>
      </c>
      <c r="G962" s="2" t="s">
        <v>138</v>
      </c>
      <c r="H962" s="2"/>
      <c r="I962" s="2"/>
      <c r="J962" s="2" t="s">
        <v>19</v>
      </c>
      <c r="K962" s="2"/>
      <c r="L962" s="2" t="s">
        <v>2498</v>
      </c>
    </row>
    <row r="963" customFormat="false" ht="13.35" hidden="false" customHeight="true" outlineLevel="0" collapsed="false">
      <c r="A963" s="2" t="str">
        <f aca="false">HYPERLINK("https://www.fabsurplus.com/sdi_catalog/salesItemDetails.do?id=90194")</f>
        <v>https://www.fabsurplus.com/sdi_catalog/salesItemDetails.do?id=90194</v>
      </c>
      <c r="B963" s="2" t="s">
        <v>2605</v>
      </c>
      <c r="C963" s="2" t="s">
        <v>2572</v>
      </c>
      <c r="D963" s="2" t="s">
        <v>2606</v>
      </c>
      <c r="E963" s="2" t="s">
        <v>2497</v>
      </c>
      <c r="F963" s="2" t="s">
        <v>58</v>
      </c>
      <c r="G963" s="2" t="s">
        <v>138</v>
      </c>
      <c r="H963" s="2"/>
      <c r="I963" s="2"/>
      <c r="J963" s="2" t="s">
        <v>19</v>
      </c>
      <c r="K963" s="2"/>
      <c r="L963" s="2" t="s">
        <v>2498</v>
      </c>
    </row>
    <row r="964" customFormat="false" ht="13.35" hidden="false" customHeight="true" outlineLevel="0" collapsed="false">
      <c r="A964" s="2" t="str">
        <f aca="false">HYPERLINK("https://www.fabsurplus.com/sdi_catalog/salesItemDetails.do?id=101336")</f>
        <v>https://www.fabsurplus.com/sdi_catalog/salesItemDetails.do?id=101336</v>
      </c>
      <c r="B964" s="2" t="s">
        <v>2607</v>
      </c>
      <c r="C964" s="2" t="s">
        <v>2559</v>
      </c>
      <c r="D964" s="2" t="s">
        <v>2606</v>
      </c>
      <c r="E964" s="2" t="s">
        <v>2583</v>
      </c>
      <c r="F964" s="2" t="s">
        <v>16</v>
      </c>
      <c r="G964" s="2" t="s">
        <v>138</v>
      </c>
      <c r="H964" s="2"/>
      <c r="I964" s="2"/>
      <c r="J964" s="2" t="s">
        <v>19</v>
      </c>
      <c r="K964" s="2"/>
      <c r="L964" s="2"/>
    </row>
    <row r="965" customFormat="false" ht="13.35" hidden="false" customHeight="true" outlineLevel="0" collapsed="false">
      <c r="A965" s="2" t="str">
        <f aca="false">HYPERLINK("https://www.fabsurplus.com/sdi_catalog/salesItemDetails.do?id=101646")</f>
        <v>https://www.fabsurplus.com/sdi_catalog/salesItemDetails.do?id=101646</v>
      </c>
      <c r="B965" s="2" t="s">
        <v>2608</v>
      </c>
      <c r="C965" s="2" t="s">
        <v>2572</v>
      </c>
      <c r="D965" s="2" t="s">
        <v>2609</v>
      </c>
      <c r="E965" s="2" t="s">
        <v>2610</v>
      </c>
      <c r="F965" s="2" t="s">
        <v>16</v>
      </c>
      <c r="G965" s="2" t="s">
        <v>154</v>
      </c>
      <c r="H965" s="2"/>
      <c r="I965" s="2"/>
      <c r="J965" s="2" t="s">
        <v>19</v>
      </c>
      <c r="K965" s="2"/>
      <c r="L965" s="2"/>
    </row>
    <row r="966" customFormat="false" ht="13.35" hidden="false" customHeight="true" outlineLevel="0" collapsed="false">
      <c r="A966" s="5" t="str">
        <f aca="false">HYPERLINK("https://www.fabsurplus.com/sdi_catalog/salesItemDetails.do?id=95950")</f>
        <v>https://www.fabsurplus.com/sdi_catalog/salesItemDetails.do?id=95950</v>
      </c>
      <c r="B966" s="5" t="s">
        <v>2611</v>
      </c>
      <c r="C966" s="5" t="s">
        <v>2559</v>
      </c>
      <c r="D966" s="5" t="s">
        <v>2612</v>
      </c>
      <c r="E966" s="5" t="s">
        <v>2613</v>
      </c>
      <c r="F966" s="5" t="s">
        <v>16</v>
      </c>
      <c r="G966" s="5"/>
      <c r="H966" s="5" t="s">
        <v>26</v>
      </c>
      <c r="I966" s="5"/>
      <c r="J966" s="5" t="s">
        <v>19</v>
      </c>
      <c r="K966" s="5" t="s">
        <v>20</v>
      </c>
      <c r="L966" s="7" t="s">
        <v>2614</v>
      </c>
    </row>
    <row r="967" customFormat="false" ht="13.35" hidden="false" customHeight="true" outlineLevel="0" collapsed="false">
      <c r="A967" s="5" t="str">
        <f aca="false">HYPERLINK("https://www.fabsurplus.com/sdi_catalog/salesItemDetails.do?id=97845")</f>
        <v>https://www.fabsurplus.com/sdi_catalog/salesItemDetails.do?id=97845</v>
      </c>
      <c r="B967" s="5" t="s">
        <v>2615</v>
      </c>
      <c r="C967" s="5" t="s">
        <v>2559</v>
      </c>
      <c r="D967" s="5" t="s">
        <v>2616</v>
      </c>
      <c r="E967" s="5" t="s">
        <v>2617</v>
      </c>
      <c r="F967" s="5" t="s">
        <v>16</v>
      </c>
      <c r="G967" s="5" t="s">
        <v>121</v>
      </c>
      <c r="H967" s="5" t="s">
        <v>978</v>
      </c>
      <c r="I967" s="5"/>
      <c r="J967" s="5" t="s">
        <v>47</v>
      </c>
      <c r="K967" s="5" t="s">
        <v>20</v>
      </c>
      <c r="L967" s="7" t="s">
        <v>2618</v>
      </c>
    </row>
    <row r="968" customFormat="false" ht="13.35" hidden="false" customHeight="true" outlineLevel="0" collapsed="false">
      <c r="A968" s="5" t="str">
        <f aca="false">HYPERLINK("https://www.fabsurplus.com/sdi_catalog/salesItemDetails.do?id=101037")</f>
        <v>https://www.fabsurplus.com/sdi_catalog/salesItemDetails.do?id=101037</v>
      </c>
      <c r="B968" s="5" t="s">
        <v>2619</v>
      </c>
      <c r="C968" s="5" t="s">
        <v>2559</v>
      </c>
      <c r="D968" s="5" t="s">
        <v>2620</v>
      </c>
      <c r="E968" s="5" t="s">
        <v>2621</v>
      </c>
      <c r="F968" s="5" t="s">
        <v>16</v>
      </c>
      <c r="G968" s="5" t="s">
        <v>121</v>
      </c>
      <c r="H968" s="5"/>
      <c r="I968" s="6" t="n">
        <v>41426</v>
      </c>
      <c r="J968" s="5"/>
      <c r="K968" s="5"/>
      <c r="L968" s="7" t="s">
        <v>2622</v>
      </c>
    </row>
    <row r="969" customFormat="false" ht="13.35" hidden="false" customHeight="true" outlineLevel="0" collapsed="false">
      <c r="A969" s="2" t="str">
        <f aca="false">HYPERLINK("https://www.fabsurplus.com/sdi_catalog/salesItemDetails.do?id=101038")</f>
        <v>https://www.fabsurplus.com/sdi_catalog/salesItemDetails.do?id=101038</v>
      </c>
      <c r="B969" s="2" t="s">
        <v>2623</v>
      </c>
      <c r="C969" s="2" t="s">
        <v>2559</v>
      </c>
      <c r="D969" s="2" t="s">
        <v>2620</v>
      </c>
      <c r="E969" s="2" t="s">
        <v>2621</v>
      </c>
      <c r="F969" s="2" t="s">
        <v>16</v>
      </c>
      <c r="G969" s="2" t="s">
        <v>121</v>
      </c>
      <c r="H969" s="2"/>
      <c r="I969" s="3" t="n">
        <v>41426</v>
      </c>
      <c r="J969" s="2"/>
      <c r="K969" s="2"/>
      <c r="L969" s="4" t="s">
        <v>2622</v>
      </c>
    </row>
    <row r="970" customFormat="false" ht="13.35" hidden="false" customHeight="true" outlineLevel="0" collapsed="false">
      <c r="A970" s="5" t="str">
        <f aca="false">HYPERLINK("https://www.fabsurplus.com/sdi_catalog/salesItemDetails.do?id=101039")</f>
        <v>https://www.fabsurplus.com/sdi_catalog/salesItemDetails.do?id=101039</v>
      </c>
      <c r="B970" s="5" t="s">
        <v>2624</v>
      </c>
      <c r="C970" s="5" t="s">
        <v>2559</v>
      </c>
      <c r="D970" s="5" t="s">
        <v>2625</v>
      </c>
      <c r="E970" s="5" t="s">
        <v>2621</v>
      </c>
      <c r="F970" s="5" t="s">
        <v>16</v>
      </c>
      <c r="G970" s="5" t="s">
        <v>121</v>
      </c>
      <c r="H970" s="5"/>
      <c r="I970" s="6" t="n">
        <v>41061</v>
      </c>
      <c r="J970" s="5"/>
      <c r="K970" s="5"/>
      <c r="L970" s="7" t="s">
        <v>2622</v>
      </c>
    </row>
    <row r="971" customFormat="false" ht="13.35" hidden="false" customHeight="true" outlineLevel="0" collapsed="false">
      <c r="A971" s="2" t="str">
        <f aca="false">HYPERLINK("https://www.fabsurplus.com/sdi_catalog/salesItemDetails.do?id=101040")</f>
        <v>https://www.fabsurplus.com/sdi_catalog/salesItemDetails.do?id=101040</v>
      </c>
      <c r="B971" s="2" t="s">
        <v>2626</v>
      </c>
      <c r="C971" s="2" t="s">
        <v>2559</v>
      </c>
      <c r="D971" s="2" t="s">
        <v>2625</v>
      </c>
      <c r="E971" s="2" t="s">
        <v>2621</v>
      </c>
      <c r="F971" s="2" t="s">
        <v>16</v>
      </c>
      <c r="G971" s="2" t="s">
        <v>121</v>
      </c>
      <c r="H971" s="2"/>
      <c r="I971" s="3" t="n">
        <v>41061</v>
      </c>
      <c r="J971" s="2"/>
      <c r="K971" s="2"/>
      <c r="L971" s="4" t="s">
        <v>2622</v>
      </c>
    </row>
    <row r="972" customFormat="false" ht="13.35" hidden="false" customHeight="true" outlineLevel="0" collapsed="false">
      <c r="A972" s="5" t="str">
        <f aca="false">HYPERLINK("https://www.fabsurplus.com/sdi_catalog/salesItemDetails.do?id=101041")</f>
        <v>https://www.fabsurplus.com/sdi_catalog/salesItemDetails.do?id=101041</v>
      </c>
      <c r="B972" s="5" t="s">
        <v>2627</v>
      </c>
      <c r="C972" s="5" t="s">
        <v>2559</v>
      </c>
      <c r="D972" s="5" t="s">
        <v>2625</v>
      </c>
      <c r="E972" s="5" t="s">
        <v>2621</v>
      </c>
      <c r="F972" s="5" t="s">
        <v>16</v>
      </c>
      <c r="G972" s="5" t="s">
        <v>121</v>
      </c>
      <c r="H972" s="5"/>
      <c r="I972" s="6" t="n">
        <v>42522</v>
      </c>
      <c r="J972" s="5"/>
      <c r="K972" s="5"/>
      <c r="L972" s="7" t="s">
        <v>2622</v>
      </c>
    </row>
    <row r="973" customFormat="false" ht="13.35" hidden="false" customHeight="true" outlineLevel="0" collapsed="false">
      <c r="A973" s="2" t="str">
        <f aca="false">HYPERLINK("https://www.fabsurplus.com/sdi_catalog/salesItemDetails.do?id=102943")</f>
        <v>https://www.fabsurplus.com/sdi_catalog/salesItemDetails.do?id=102943</v>
      </c>
      <c r="B973" s="2" t="s">
        <v>2628</v>
      </c>
      <c r="C973" s="2" t="s">
        <v>2559</v>
      </c>
      <c r="D973" s="2" t="s">
        <v>321</v>
      </c>
      <c r="E973" s="2" t="s">
        <v>2629</v>
      </c>
      <c r="F973" s="2" t="s">
        <v>16</v>
      </c>
      <c r="G973" s="2" t="s">
        <v>138</v>
      </c>
      <c r="H973" s="2"/>
      <c r="I973" s="2"/>
      <c r="J973" s="2" t="s">
        <v>19</v>
      </c>
      <c r="K973" s="2"/>
      <c r="L973" s="4" t="s">
        <v>2630</v>
      </c>
    </row>
    <row r="974" customFormat="false" ht="13.35" hidden="false" customHeight="true" outlineLevel="0" collapsed="false">
      <c r="A974" s="2" t="str">
        <f aca="false">HYPERLINK("https://www.fabsurplus.com/sdi_catalog/salesItemDetails.do?id=101679")</f>
        <v>https://www.fabsurplus.com/sdi_catalog/salesItemDetails.do?id=101679</v>
      </c>
      <c r="B974" s="2" t="s">
        <v>2631</v>
      </c>
      <c r="C974" s="2" t="s">
        <v>2632</v>
      </c>
      <c r="D974" s="2" t="s">
        <v>2633</v>
      </c>
      <c r="E974" s="2" t="s">
        <v>41</v>
      </c>
      <c r="F974" s="2" t="s">
        <v>125</v>
      </c>
      <c r="G974" s="2"/>
      <c r="H974" s="2"/>
      <c r="I974" s="2"/>
      <c r="J974" s="2" t="s">
        <v>47</v>
      </c>
      <c r="K974" s="2"/>
      <c r="L974" s="2" t="s">
        <v>474</v>
      </c>
    </row>
    <row r="975" customFormat="false" ht="13.35" hidden="false" customHeight="true" outlineLevel="0" collapsed="false">
      <c r="A975" s="5" t="str">
        <f aca="false">HYPERLINK("https://www.fabsurplus.com/sdi_catalog/salesItemDetails.do?id=101680")</f>
        <v>https://www.fabsurplus.com/sdi_catalog/salesItemDetails.do?id=101680</v>
      </c>
      <c r="B975" s="5" t="s">
        <v>2634</v>
      </c>
      <c r="C975" s="5" t="s">
        <v>2632</v>
      </c>
      <c r="D975" s="5" t="s">
        <v>2635</v>
      </c>
      <c r="E975" s="5" t="s">
        <v>2636</v>
      </c>
      <c r="F975" s="5" t="s">
        <v>16</v>
      </c>
      <c r="G975" s="5" t="s">
        <v>222</v>
      </c>
      <c r="H975" s="5"/>
      <c r="I975" s="5"/>
      <c r="J975" s="5" t="s">
        <v>47</v>
      </c>
      <c r="K975" s="5"/>
      <c r="L975" s="5" t="s">
        <v>474</v>
      </c>
    </row>
    <row r="976" customFormat="false" ht="13.35" hidden="false" customHeight="true" outlineLevel="0" collapsed="false">
      <c r="A976" s="5" t="str">
        <f aca="false">HYPERLINK("https://www.fabsurplus.com/sdi_catalog/salesItemDetails.do?id=101337")</f>
        <v>https://www.fabsurplus.com/sdi_catalog/salesItemDetails.do?id=101337</v>
      </c>
      <c r="B976" s="5" t="s">
        <v>2637</v>
      </c>
      <c r="C976" s="5" t="s">
        <v>2632</v>
      </c>
      <c r="D976" s="5" t="s">
        <v>2638</v>
      </c>
      <c r="E976" s="5" t="s">
        <v>2639</v>
      </c>
      <c r="F976" s="5" t="s">
        <v>16</v>
      </c>
      <c r="G976" s="5" t="s">
        <v>2640</v>
      </c>
      <c r="H976" s="5"/>
      <c r="I976" s="5"/>
      <c r="J976" s="5" t="s">
        <v>19</v>
      </c>
      <c r="K976" s="5"/>
      <c r="L976" s="5"/>
    </row>
    <row r="977" customFormat="false" ht="13.35" hidden="false" customHeight="true" outlineLevel="0" collapsed="false">
      <c r="A977" s="2" t="str">
        <f aca="false">HYPERLINK("https://www.fabsurplus.com/sdi_catalog/salesItemDetails.do?id=102195")</f>
        <v>https://www.fabsurplus.com/sdi_catalog/salesItemDetails.do?id=102195</v>
      </c>
      <c r="B977" s="2" t="s">
        <v>2641</v>
      </c>
      <c r="C977" s="2" t="s">
        <v>2632</v>
      </c>
      <c r="D977" s="2" t="s">
        <v>2642</v>
      </c>
      <c r="E977" s="2" t="s">
        <v>2639</v>
      </c>
      <c r="F977" s="2" t="s">
        <v>16</v>
      </c>
      <c r="G977" s="2" t="s">
        <v>36</v>
      </c>
      <c r="H977" s="2"/>
      <c r="I977" s="2"/>
      <c r="J977" s="2" t="s">
        <v>19</v>
      </c>
      <c r="K977" s="2"/>
      <c r="L977" s="2"/>
    </row>
    <row r="978" customFormat="false" ht="13.35" hidden="false" customHeight="true" outlineLevel="0" collapsed="false">
      <c r="A978" s="2" t="str">
        <f aca="false">HYPERLINK("https://www.fabsurplus.com/sdi_catalog/salesItemDetails.do?id=102196")</f>
        <v>https://www.fabsurplus.com/sdi_catalog/salesItemDetails.do?id=102196</v>
      </c>
      <c r="B978" s="2" t="s">
        <v>2643</v>
      </c>
      <c r="C978" s="2" t="s">
        <v>2632</v>
      </c>
      <c r="D978" s="2" t="s">
        <v>2644</v>
      </c>
      <c r="E978" s="2" t="s">
        <v>2639</v>
      </c>
      <c r="F978" s="2" t="s">
        <v>16</v>
      </c>
      <c r="G978" s="2" t="s">
        <v>36</v>
      </c>
      <c r="H978" s="2"/>
      <c r="I978" s="2"/>
      <c r="J978" s="2" t="s">
        <v>19</v>
      </c>
      <c r="K978" s="2"/>
      <c r="L978" s="2"/>
    </row>
    <row r="979" customFormat="false" ht="13.35" hidden="false" customHeight="true" outlineLevel="0" collapsed="false">
      <c r="A979" s="5" t="str">
        <f aca="false">HYPERLINK("https://www.fabsurplus.com/sdi_catalog/salesItemDetails.do?id=102197")</f>
        <v>https://www.fabsurplus.com/sdi_catalog/salesItemDetails.do?id=102197</v>
      </c>
      <c r="B979" s="5" t="s">
        <v>2645</v>
      </c>
      <c r="C979" s="5" t="s">
        <v>2632</v>
      </c>
      <c r="D979" s="5" t="s">
        <v>2646</v>
      </c>
      <c r="E979" s="5" t="s">
        <v>2639</v>
      </c>
      <c r="F979" s="5" t="s">
        <v>16</v>
      </c>
      <c r="G979" s="5" t="s">
        <v>36</v>
      </c>
      <c r="H979" s="5"/>
      <c r="I979" s="5"/>
      <c r="J979" s="5" t="s">
        <v>19</v>
      </c>
      <c r="K979" s="5"/>
      <c r="L979" s="5"/>
    </row>
    <row r="980" customFormat="false" ht="13.35" hidden="false" customHeight="true" outlineLevel="0" collapsed="false">
      <c r="A980" s="2" t="str">
        <f aca="false">HYPERLINK("https://www.fabsurplus.com/sdi_catalog/salesItemDetails.do?id=102198")</f>
        <v>https://www.fabsurplus.com/sdi_catalog/salesItemDetails.do?id=102198</v>
      </c>
      <c r="B980" s="2" t="s">
        <v>2647</v>
      </c>
      <c r="C980" s="2" t="s">
        <v>2632</v>
      </c>
      <c r="D980" s="2" t="s">
        <v>2646</v>
      </c>
      <c r="E980" s="2" t="s">
        <v>2639</v>
      </c>
      <c r="F980" s="2" t="s">
        <v>16</v>
      </c>
      <c r="G980" s="2" t="s">
        <v>36</v>
      </c>
      <c r="H980" s="2"/>
      <c r="I980" s="2"/>
      <c r="J980" s="2" t="s">
        <v>19</v>
      </c>
      <c r="K980" s="2"/>
      <c r="L980" s="2"/>
    </row>
    <row r="981" customFormat="false" ht="13.35" hidden="false" customHeight="true" outlineLevel="0" collapsed="false">
      <c r="A981" s="5" t="str">
        <f aca="false">HYPERLINK("https://www.fabsurplus.com/sdi_catalog/salesItemDetails.do?id=102199")</f>
        <v>https://www.fabsurplus.com/sdi_catalog/salesItemDetails.do?id=102199</v>
      </c>
      <c r="B981" s="5" t="s">
        <v>2648</v>
      </c>
      <c r="C981" s="5" t="s">
        <v>2632</v>
      </c>
      <c r="D981" s="5" t="s">
        <v>2646</v>
      </c>
      <c r="E981" s="5" t="s">
        <v>2639</v>
      </c>
      <c r="F981" s="5" t="s">
        <v>16</v>
      </c>
      <c r="G981" s="5" t="s">
        <v>36</v>
      </c>
      <c r="H981" s="5"/>
      <c r="I981" s="5"/>
      <c r="J981" s="5" t="s">
        <v>19</v>
      </c>
      <c r="K981" s="5"/>
      <c r="L981" s="5"/>
    </row>
    <row r="982" customFormat="false" ht="13.35" hidden="false" customHeight="true" outlineLevel="0" collapsed="false">
      <c r="A982" s="2" t="str">
        <f aca="false">HYPERLINK("https://www.fabsurplus.com/sdi_catalog/salesItemDetails.do?id=102200")</f>
        <v>https://www.fabsurplus.com/sdi_catalog/salesItemDetails.do?id=102200</v>
      </c>
      <c r="B982" s="2" t="s">
        <v>2649</v>
      </c>
      <c r="C982" s="2" t="s">
        <v>2632</v>
      </c>
      <c r="D982" s="2" t="s">
        <v>2646</v>
      </c>
      <c r="E982" s="2" t="s">
        <v>2639</v>
      </c>
      <c r="F982" s="2" t="s">
        <v>16</v>
      </c>
      <c r="G982" s="2" t="s">
        <v>36</v>
      </c>
      <c r="H982" s="2"/>
      <c r="I982" s="2"/>
      <c r="J982" s="2" t="s">
        <v>19</v>
      </c>
      <c r="K982" s="2"/>
      <c r="L982" s="2"/>
    </row>
    <row r="983" customFormat="false" ht="13.35" hidden="false" customHeight="true" outlineLevel="0" collapsed="false">
      <c r="A983" s="5" t="str">
        <f aca="false">HYPERLINK("https://www.fabsurplus.com/sdi_catalog/salesItemDetails.do?id=102201")</f>
        <v>https://www.fabsurplus.com/sdi_catalog/salesItemDetails.do?id=102201</v>
      </c>
      <c r="B983" s="5" t="s">
        <v>2650</v>
      </c>
      <c r="C983" s="5" t="s">
        <v>2632</v>
      </c>
      <c r="D983" s="5" t="s">
        <v>2646</v>
      </c>
      <c r="E983" s="5" t="s">
        <v>2639</v>
      </c>
      <c r="F983" s="5" t="s">
        <v>16</v>
      </c>
      <c r="G983" s="5" t="s">
        <v>36</v>
      </c>
      <c r="H983" s="5"/>
      <c r="I983" s="5"/>
      <c r="J983" s="5" t="s">
        <v>19</v>
      </c>
      <c r="K983" s="5"/>
      <c r="L983" s="5"/>
    </row>
    <row r="984" customFormat="false" ht="13.35" hidden="false" customHeight="true" outlineLevel="0" collapsed="false">
      <c r="A984" s="2" t="str">
        <f aca="false">HYPERLINK("https://www.fabsurplus.com/sdi_catalog/salesItemDetails.do?id=102202")</f>
        <v>https://www.fabsurplus.com/sdi_catalog/salesItemDetails.do?id=102202</v>
      </c>
      <c r="B984" s="2" t="s">
        <v>2651</v>
      </c>
      <c r="C984" s="2" t="s">
        <v>2632</v>
      </c>
      <c r="D984" s="2" t="s">
        <v>2652</v>
      </c>
      <c r="E984" s="2" t="s">
        <v>2639</v>
      </c>
      <c r="F984" s="2" t="s">
        <v>16</v>
      </c>
      <c r="G984" s="2" t="s">
        <v>36</v>
      </c>
      <c r="H984" s="2"/>
      <c r="I984" s="3" t="n">
        <v>36312</v>
      </c>
      <c r="J984" s="2" t="s">
        <v>19</v>
      </c>
      <c r="K984" s="2"/>
      <c r="L984" s="2"/>
    </row>
    <row r="985" customFormat="false" ht="13.35" hidden="false" customHeight="true" outlineLevel="0" collapsed="false">
      <c r="A985" s="5" t="str">
        <f aca="false">HYPERLINK("https://www.fabsurplus.com/sdi_catalog/salesItemDetails.do?id=102203")</f>
        <v>https://www.fabsurplus.com/sdi_catalog/salesItemDetails.do?id=102203</v>
      </c>
      <c r="B985" s="5" t="s">
        <v>2653</v>
      </c>
      <c r="C985" s="5" t="s">
        <v>2632</v>
      </c>
      <c r="D985" s="5" t="s">
        <v>2652</v>
      </c>
      <c r="E985" s="5" t="s">
        <v>2639</v>
      </c>
      <c r="F985" s="5" t="s">
        <v>16</v>
      </c>
      <c r="G985" s="5" t="s">
        <v>36</v>
      </c>
      <c r="H985" s="5"/>
      <c r="I985" s="6" t="n">
        <v>36312</v>
      </c>
      <c r="J985" s="5" t="s">
        <v>19</v>
      </c>
      <c r="K985" s="5"/>
      <c r="L985" s="5"/>
    </row>
    <row r="986" customFormat="false" ht="13.35" hidden="false" customHeight="true" outlineLevel="0" collapsed="false">
      <c r="A986" s="2" t="str">
        <f aca="false">HYPERLINK("https://www.fabsurplus.com/sdi_catalog/salesItemDetails.do?id=102204")</f>
        <v>https://www.fabsurplus.com/sdi_catalog/salesItemDetails.do?id=102204</v>
      </c>
      <c r="B986" s="2" t="s">
        <v>2654</v>
      </c>
      <c r="C986" s="2" t="s">
        <v>2632</v>
      </c>
      <c r="D986" s="2" t="s">
        <v>2652</v>
      </c>
      <c r="E986" s="2" t="s">
        <v>2639</v>
      </c>
      <c r="F986" s="2" t="s">
        <v>16</v>
      </c>
      <c r="G986" s="2" t="s">
        <v>36</v>
      </c>
      <c r="H986" s="2"/>
      <c r="I986" s="3" t="n">
        <v>38139</v>
      </c>
      <c r="J986" s="2" t="s">
        <v>19</v>
      </c>
      <c r="K986" s="2"/>
      <c r="L986" s="2"/>
    </row>
    <row r="987" customFormat="false" ht="13.35" hidden="false" customHeight="true" outlineLevel="0" collapsed="false">
      <c r="A987" s="5" t="str">
        <f aca="false">HYPERLINK("https://www.fabsurplus.com/sdi_catalog/salesItemDetails.do?id=102205")</f>
        <v>https://www.fabsurplus.com/sdi_catalog/salesItemDetails.do?id=102205</v>
      </c>
      <c r="B987" s="5" t="s">
        <v>2655</v>
      </c>
      <c r="C987" s="5" t="s">
        <v>2632</v>
      </c>
      <c r="D987" s="5" t="s">
        <v>2652</v>
      </c>
      <c r="E987" s="5" t="s">
        <v>2639</v>
      </c>
      <c r="F987" s="5" t="s">
        <v>16</v>
      </c>
      <c r="G987" s="5" t="s">
        <v>36</v>
      </c>
      <c r="H987" s="5"/>
      <c r="I987" s="6" t="n">
        <v>36312</v>
      </c>
      <c r="J987" s="5" t="s">
        <v>19</v>
      </c>
      <c r="K987" s="5"/>
      <c r="L987" s="5"/>
    </row>
    <row r="988" customFormat="false" ht="13.35" hidden="false" customHeight="true" outlineLevel="0" collapsed="false">
      <c r="A988" s="5" t="str">
        <f aca="false">HYPERLINK("https://www.fabsurplus.com/sdi_catalog/salesItemDetails.do?id=99387")</f>
        <v>https://www.fabsurplus.com/sdi_catalog/salesItemDetails.do?id=99387</v>
      </c>
      <c r="B988" s="5" t="s">
        <v>2656</v>
      </c>
      <c r="C988" s="5" t="s">
        <v>2657</v>
      </c>
      <c r="D988" s="5" t="s">
        <v>2658</v>
      </c>
      <c r="E988" s="5" t="s">
        <v>2659</v>
      </c>
      <c r="F988" s="5" t="s">
        <v>16</v>
      </c>
      <c r="G988" s="5" t="s">
        <v>2660</v>
      </c>
      <c r="H988" s="5" t="s">
        <v>18</v>
      </c>
      <c r="I988" s="5"/>
      <c r="J988" s="5" t="s">
        <v>19</v>
      </c>
      <c r="K988" s="5" t="s">
        <v>20</v>
      </c>
      <c r="L988" s="7" t="s">
        <v>2661</v>
      </c>
    </row>
    <row r="989" customFormat="false" ht="13.35" hidden="false" customHeight="true" outlineLevel="0" collapsed="false">
      <c r="A989" s="2" t="str">
        <f aca="false">HYPERLINK("https://www.fabsurplus.com/sdi_catalog/salesItemDetails.do?id=88025")</f>
        <v>https://www.fabsurplus.com/sdi_catalog/salesItemDetails.do?id=88025</v>
      </c>
      <c r="B989" s="2" t="s">
        <v>2662</v>
      </c>
      <c r="C989" s="2" t="s">
        <v>2663</v>
      </c>
      <c r="D989" s="2" t="s">
        <v>2664</v>
      </c>
      <c r="E989" s="2" t="s">
        <v>87</v>
      </c>
      <c r="F989" s="2" t="s">
        <v>137</v>
      </c>
      <c r="G989" s="2" t="s">
        <v>88</v>
      </c>
      <c r="H989" s="2"/>
      <c r="I989" s="2"/>
      <c r="J989" s="2" t="s">
        <v>19</v>
      </c>
      <c r="K989" s="2"/>
      <c r="L989" s="2" t="s">
        <v>89</v>
      </c>
    </row>
    <row r="990" customFormat="false" ht="13.35" hidden="false" customHeight="true" outlineLevel="0" collapsed="false">
      <c r="A990" s="2" t="str">
        <f aca="false">HYPERLINK("https://www.fabsurplus.com/sdi_catalog/salesItemDetails.do?id=88026")</f>
        <v>https://www.fabsurplus.com/sdi_catalog/salesItemDetails.do?id=88026</v>
      </c>
      <c r="B990" s="2" t="s">
        <v>2665</v>
      </c>
      <c r="C990" s="2" t="s">
        <v>2663</v>
      </c>
      <c r="D990" s="2" t="s">
        <v>2666</v>
      </c>
      <c r="E990" s="2" t="s">
        <v>87</v>
      </c>
      <c r="F990" s="2" t="s">
        <v>2667</v>
      </c>
      <c r="G990" s="2" t="s">
        <v>88</v>
      </c>
      <c r="H990" s="2"/>
      <c r="I990" s="2"/>
      <c r="J990" s="2" t="s">
        <v>19</v>
      </c>
      <c r="K990" s="2"/>
      <c r="L990" s="2" t="s">
        <v>89</v>
      </c>
    </row>
    <row r="991" customFormat="false" ht="13.35" hidden="false" customHeight="true" outlineLevel="0" collapsed="false">
      <c r="A991" s="2" t="str">
        <f aca="false">HYPERLINK("https://www.fabsurplus.com/sdi_catalog/salesItemDetails.do?id=101647")</f>
        <v>https://www.fabsurplus.com/sdi_catalog/salesItemDetails.do?id=101647</v>
      </c>
      <c r="B991" s="2" t="s">
        <v>2668</v>
      </c>
      <c r="C991" s="2" t="s">
        <v>2663</v>
      </c>
      <c r="D991" s="2" t="s">
        <v>2669</v>
      </c>
      <c r="E991" s="2" t="s">
        <v>2670</v>
      </c>
      <c r="F991" s="2" t="s">
        <v>16</v>
      </c>
      <c r="G991" s="2" t="s">
        <v>154</v>
      </c>
      <c r="H991" s="2"/>
      <c r="I991" s="2"/>
      <c r="J991" s="2" t="s">
        <v>19</v>
      </c>
      <c r="K991" s="2"/>
      <c r="L991" s="2"/>
    </row>
    <row r="992" customFormat="false" ht="13.35" hidden="false" customHeight="true" outlineLevel="0" collapsed="false">
      <c r="A992" s="2" t="str">
        <f aca="false">HYPERLINK("https://www.fabsurplus.com/sdi_catalog/salesItemDetails.do?id=101648")</f>
        <v>https://www.fabsurplus.com/sdi_catalog/salesItemDetails.do?id=101648</v>
      </c>
      <c r="B992" s="2" t="s">
        <v>2671</v>
      </c>
      <c r="C992" s="2" t="s">
        <v>2663</v>
      </c>
      <c r="D992" s="2" t="s">
        <v>2672</v>
      </c>
      <c r="E992" s="2" t="s">
        <v>2475</v>
      </c>
      <c r="F992" s="2" t="s">
        <v>16</v>
      </c>
      <c r="G992" s="2" t="s">
        <v>154</v>
      </c>
      <c r="H992" s="2"/>
      <c r="I992" s="2"/>
      <c r="J992" s="2" t="s">
        <v>19</v>
      </c>
      <c r="K992" s="2"/>
      <c r="L992" s="2"/>
    </row>
    <row r="993" customFormat="false" ht="13.35" hidden="false" customHeight="true" outlineLevel="0" collapsed="false">
      <c r="A993" s="2" t="str">
        <f aca="false">HYPERLINK("https://www.fabsurplus.com/sdi_catalog/salesItemDetails.do?id=88027")</f>
        <v>https://www.fabsurplus.com/sdi_catalog/salesItemDetails.do?id=88027</v>
      </c>
      <c r="B993" s="2" t="s">
        <v>2673</v>
      </c>
      <c r="C993" s="2" t="s">
        <v>2663</v>
      </c>
      <c r="D993" s="2" t="s">
        <v>2674</v>
      </c>
      <c r="E993" s="2" t="s">
        <v>87</v>
      </c>
      <c r="F993" s="2" t="s">
        <v>125</v>
      </c>
      <c r="G993" s="2" t="s">
        <v>88</v>
      </c>
      <c r="H993" s="2"/>
      <c r="I993" s="2"/>
      <c r="J993" s="2" t="s">
        <v>19</v>
      </c>
      <c r="K993" s="2"/>
      <c r="L993" s="2" t="s">
        <v>89</v>
      </c>
    </row>
    <row r="994" customFormat="false" ht="13.35" hidden="false" customHeight="true" outlineLevel="0" collapsed="false">
      <c r="A994" s="5" t="str">
        <f aca="false">HYPERLINK("https://www.fabsurplus.com/sdi_catalog/salesItemDetails.do?id=88028")</f>
        <v>https://www.fabsurplus.com/sdi_catalog/salesItemDetails.do?id=88028</v>
      </c>
      <c r="B994" s="5" t="s">
        <v>2675</v>
      </c>
      <c r="C994" s="5" t="s">
        <v>2663</v>
      </c>
      <c r="D994" s="5" t="s">
        <v>2676</v>
      </c>
      <c r="E994" s="5" t="s">
        <v>87</v>
      </c>
      <c r="F994" s="5" t="s">
        <v>125</v>
      </c>
      <c r="G994" s="5" t="s">
        <v>88</v>
      </c>
      <c r="H994" s="5"/>
      <c r="I994" s="5"/>
      <c r="J994" s="5" t="s">
        <v>19</v>
      </c>
      <c r="K994" s="5"/>
      <c r="L994" s="5" t="s">
        <v>89</v>
      </c>
    </row>
    <row r="995" customFormat="false" ht="13.35" hidden="false" customHeight="true" outlineLevel="0" collapsed="false">
      <c r="A995" s="5" t="str">
        <f aca="false">HYPERLINK("https://www.fabsurplus.com/sdi_catalog/salesItemDetails.do?id=88029")</f>
        <v>https://www.fabsurplus.com/sdi_catalog/salesItemDetails.do?id=88029</v>
      </c>
      <c r="B995" s="5" t="s">
        <v>2677</v>
      </c>
      <c r="C995" s="5" t="s">
        <v>2663</v>
      </c>
      <c r="D995" s="5" t="s">
        <v>2678</v>
      </c>
      <c r="E995" s="5" t="s">
        <v>87</v>
      </c>
      <c r="F995" s="5" t="s">
        <v>58</v>
      </c>
      <c r="G995" s="5" t="s">
        <v>88</v>
      </c>
      <c r="H995" s="5"/>
      <c r="I995" s="5"/>
      <c r="J995" s="5" t="s">
        <v>19</v>
      </c>
      <c r="K995" s="5"/>
      <c r="L995" s="5" t="s">
        <v>89</v>
      </c>
    </row>
    <row r="996" customFormat="false" ht="13.35" hidden="false" customHeight="true" outlineLevel="0" collapsed="false">
      <c r="A996" s="2" t="str">
        <f aca="false">HYPERLINK("https://www.fabsurplus.com/sdi_catalog/salesItemDetails.do?id=87094")</f>
        <v>https://www.fabsurplus.com/sdi_catalog/salesItemDetails.do?id=87094</v>
      </c>
      <c r="B996" s="2" t="s">
        <v>2679</v>
      </c>
      <c r="C996" s="2" t="s">
        <v>2680</v>
      </c>
      <c r="D996" s="2" t="s">
        <v>2681</v>
      </c>
      <c r="E996" s="2" t="s">
        <v>2682</v>
      </c>
      <c r="F996" s="2" t="s">
        <v>16</v>
      </c>
      <c r="G996" s="2" t="s">
        <v>149</v>
      </c>
      <c r="H996" s="2" t="s">
        <v>18</v>
      </c>
      <c r="I996" s="3" t="n">
        <v>42826</v>
      </c>
      <c r="J996" s="2" t="s">
        <v>19</v>
      </c>
      <c r="K996" s="2" t="s">
        <v>20</v>
      </c>
      <c r="L996" s="4" t="s">
        <v>2683</v>
      </c>
    </row>
    <row r="997" customFormat="false" ht="13.35" hidden="false" customHeight="true" outlineLevel="0" collapsed="false">
      <c r="A997" s="2" t="str">
        <f aca="false">HYPERLINK("https://www.fabsurplus.com/sdi_catalog/salesItemDetails.do?id=100640")</f>
        <v>https://www.fabsurplus.com/sdi_catalog/salesItemDetails.do?id=100640</v>
      </c>
      <c r="B997" s="2" t="s">
        <v>2684</v>
      </c>
      <c r="C997" s="2" t="s">
        <v>2685</v>
      </c>
      <c r="D997" s="2" t="s">
        <v>2686</v>
      </c>
      <c r="E997" s="2" t="s">
        <v>2687</v>
      </c>
      <c r="F997" s="2" t="s">
        <v>16</v>
      </c>
      <c r="G997" s="2" t="s">
        <v>160</v>
      </c>
      <c r="H997" s="2"/>
      <c r="I997" s="2"/>
      <c r="J997" s="2" t="s">
        <v>19</v>
      </c>
      <c r="K997" s="2"/>
      <c r="L997" s="2" t="s">
        <v>474</v>
      </c>
    </row>
    <row r="998" customFormat="false" ht="13.35" hidden="false" customHeight="true" outlineLevel="0" collapsed="false">
      <c r="A998" s="2" t="str">
        <f aca="false">HYPERLINK("https://www.fabsurplus.com/sdi_catalog/salesItemDetails.do?id=100033")</f>
        <v>https://www.fabsurplus.com/sdi_catalog/salesItemDetails.do?id=100033</v>
      </c>
      <c r="B998" s="2" t="s">
        <v>2688</v>
      </c>
      <c r="C998" s="2" t="s">
        <v>2689</v>
      </c>
      <c r="D998" s="2" t="s">
        <v>2690</v>
      </c>
      <c r="E998" s="2" t="s">
        <v>2691</v>
      </c>
      <c r="F998" s="2" t="s">
        <v>16</v>
      </c>
      <c r="G998" s="2"/>
      <c r="H998" s="2"/>
      <c r="I998" s="2"/>
      <c r="J998" s="2" t="s">
        <v>19</v>
      </c>
      <c r="K998" s="2"/>
      <c r="L998" s="4" t="s">
        <v>439</v>
      </c>
    </row>
    <row r="999" customFormat="false" ht="13.35" hidden="false" customHeight="true" outlineLevel="0" collapsed="false">
      <c r="A999" s="2" t="str">
        <f aca="false">HYPERLINK("https://www.fabsurplus.com/sdi_catalog/salesItemDetails.do?id=101751")</f>
        <v>https://www.fabsurplus.com/sdi_catalog/salesItemDetails.do?id=101751</v>
      </c>
      <c r="B999" s="2" t="s">
        <v>2692</v>
      </c>
      <c r="C999" s="2" t="s">
        <v>2693</v>
      </c>
      <c r="D999" s="2" t="s">
        <v>2694</v>
      </c>
      <c r="E999" s="2" t="s">
        <v>2695</v>
      </c>
      <c r="F999" s="2" t="s">
        <v>16</v>
      </c>
      <c r="G999" s="2"/>
      <c r="H999" s="2"/>
      <c r="I999" s="3" t="n">
        <v>41699</v>
      </c>
      <c r="J999" s="2" t="s">
        <v>47</v>
      </c>
      <c r="K999" s="2"/>
      <c r="L999" s="2" t="s">
        <v>474</v>
      </c>
    </row>
    <row r="1000" customFormat="false" ht="13.35" hidden="false" customHeight="true" outlineLevel="0" collapsed="false">
      <c r="A1000" s="5" t="str">
        <f aca="false">HYPERLINK("https://www.fabsurplus.com/sdi_catalog/salesItemDetails.do?id=101752")</f>
        <v>https://www.fabsurplus.com/sdi_catalog/salesItemDetails.do?id=101752</v>
      </c>
      <c r="B1000" s="5" t="s">
        <v>2696</v>
      </c>
      <c r="C1000" s="5" t="s">
        <v>2693</v>
      </c>
      <c r="D1000" s="5" t="s">
        <v>2694</v>
      </c>
      <c r="E1000" s="5" t="s">
        <v>2695</v>
      </c>
      <c r="F1000" s="5" t="s">
        <v>16</v>
      </c>
      <c r="G1000" s="5"/>
      <c r="H1000" s="5"/>
      <c r="I1000" s="6" t="n">
        <v>42917</v>
      </c>
      <c r="J1000" s="5" t="s">
        <v>47</v>
      </c>
      <c r="K1000" s="5"/>
      <c r="L1000" s="5" t="s">
        <v>474</v>
      </c>
    </row>
    <row r="1001" customFormat="false" ht="13.35" hidden="false" customHeight="true" outlineLevel="0" collapsed="false">
      <c r="A1001" s="2" t="str">
        <f aca="false">HYPERLINK("https://www.fabsurplus.com/sdi_catalog/salesItemDetails.do?id=98462")</f>
        <v>https://www.fabsurplus.com/sdi_catalog/salesItemDetails.do?id=98462</v>
      </c>
      <c r="B1001" s="2" t="s">
        <v>2697</v>
      </c>
      <c r="C1001" s="2" t="s">
        <v>2698</v>
      </c>
      <c r="D1001" s="2" t="s">
        <v>2699</v>
      </c>
      <c r="E1001" s="2" t="s">
        <v>2700</v>
      </c>
      <c r="F1001" s="2" t="s">
        <v>16</v>
      </c>
      <c r="G1001" s="2" t="s">
        <v>2701</v>
      </c>
      <c r="H1001" s="2" t="s">
        <v>18</v>
      </c>
      <c r="I1001" s="3" t="n">
        <v>38534</v>
      </c>
      <c r="J1001" s="2" t="s">
        <v>19</v>
      </c>
      <c r="K1001" s="2" t="s">
        <v>20</v>
      </c>
      <c r="L1001" s="4" t="s">
        <v>2702</v>
      </c>
    </row>
    <row r="1002" customFormat="false" ht="13.35" hidden="false" customHeight="true" outlineLevel="0" collapsed="false">
      <c r="A1002" s="2" t="str">
        <f aca="false">HYPERLINK("https://www.fabsurplus.com/sdi_catalog/salesItemDetails.do?id=101849")</f>
        <v>https://www.fabsurplus.com/sdi_catalog/salesItemDetails.do?id=101849</v>
      </c>
      <c r="B1002" s="2" t="s">
        <v>2703</v>
      </c>
      <c r="C1002" s="2" t="s">
        <v>2704</v>
      </c>
      <c r="D1002" s="2" t="s">
        <v>2705</v>
      </c>
      <c r="E1002" s="2" t="s">
        <v>1357</v>
      </c>
      <c r="F1002" s="2" t="s">
        <v>366</v>
      </c>
      <c r="G1002" s="2"/>
      <c r="H1002" s="2" t="s">
        <v>26</v>
      </c>
      <c r="I1002" s="3" t="n">
        <v>38139</v>
      </c>
      <c r="J1002" s="2" t="s">
        <v>47</v>
      </c>
      <c r="K1002" s="2" t="s">
        <v>20</v>
      </c>
      <c r="L1002" s="4" t="s">
        <v>2706</v>
      </c>
    </row>
    <row r="1003" customFormat="false" ht="13.35" hidden="false" customHeight="true" outlineLevel="0" collapsed="false">
      <c r="A1003" s="5" t="str">
        <f aca="false">HYPERLINK("https://www.fabsurplus.com/sdi_catalog/salesItemDetails.do?id=100641")</f>
        <v>https://www.fabsurplus.com/sdi_catalog/salesItemDetails.do?id=100641</v>
      </c>
      <c r="B1003" s="5" t="s">
        <v>2707</v>
      </c>
      <c r="C1003" s="5" t="s">
        <v>2708</v>
      </c>
      <c r="D1003" s="5" t="s">
        <v>2709</v>
      </c>
      <c r="E1003" s="5" t="s">
        <v>1357</v>
      </c>
      <c r="F1003" s="5" t="s">
        <v>366</v>
      </c>
      <c r="G1003" s="5" t="s">
        <v>160</v>
      </c>
      <c r="H1003" s="5"/>
      <c r="I1003" s="5"/>
      <c r="J1003" s="5" t="s">
        <v>19</v>
      </c>
      <c r="K1003" s="5"/>
      <c r="L1003" s="5" t="s">
        <v>474</v>
      </c>
    </row>
    <row r="1004" customFormat="false" ht="13.35" hidden="false" customHeight="true" outlineLevel="0" collapsed="false">
      <c r="A1004" s="5" t="str">
        <f aca="false">HYPERLINK("https://www.fabsurplus.com/sdi_catalog/salesItemDetails.do?id=68903")</f>
        <v>https://www.fabsurplus.com/sdi_catalog/salesItemDetails.do?id=68903</v>
      </c>
      <c r="B1004" s="5" t="s">
        <v>2710</v>
      </c>
      <c r="C1004" s="5" t="s">
        <v>2704</v>
      </c>
      <c r="D1004" s="5" t="s">
        <v>2711</v>
      </c>
      <c r="E1004" s="5" t="s">
        <v>2712</v>
      </c>
      <c r="F1004" s="5" t="s">
        <v>16</v>
      </c>
      <c r="G1004" s="5" t="s">
        <v>1964</v>
      </c>
      <c r="H1004" s="5" t="s">
        <v>18</v>
      </c>
      <c r="I1004" s="6" t="n">
        <v>36312</v>
      </c>
      <c r="J1004" s="5" t="s">
        <v>19</v>
      </c>
      <c r="K1004" s="5" t="s">
        <v>20</v>
      </c>
      <c r="L1004" s="5" t="s">
        <v>2713</v>
      </c>
    </row>
    <row r="1005" customFormat="false" ht="13.35" hidden="false" customHeight="true" outlineLevel="0" collapsed="false">
      <c r="A1005" s="2" t="str">
        <f aca="false">HYPERLINK("https://www.fabsurplus.com/sdi_catalog/salesItemDetails.do?id=100704")</f>
        <v>https://www.fabsurplus.com/sdi_catalog/salesItemDetails.do?id=100704</v>
      </c>
      <c r="B1005" s="2" t="s">
        <v>2714</v>
      </c>
      <c r="C1005" s="2" t="s">
        <v>2704</v>
      </c>
      <c r="D1005" s="2" t="s">
        <v>2715</v>
      </c>
      <c r="E1005" s="2" t="s">
        <v>2716</v>
      </c>
      <c r="F1005" s="2" t="s">
        <v>16</v>
      </c>
      <c r="G1005" s="2" t="s">
        <v>160</v>
      </c>
      <c r="H1005" s="2" t="s">
        <v>592</v>
      </c>
      <c r="I1005" s="2"/>
      <c r="J1005" s="2" t="s">
        <v>19</v>
      </c>
      <c r="K1005" s="2" t="s">
        <v>20</v>
      </c>
      <c r="L1005" s="4" t="s">
        <v>2717</v>
      </c>
    </row>
    <row r="1006" customFormat="false" ht="13.35" hidden="false" customHeight="true" outlineLevel="0" collapsed="false">
      <c r="A1006" s="5" t="str">
        <f aca="false">HYPERLINK("https://www.fabsurplus.com/sdi_catalog/salesItemDetails.do?id=100705")</f>
        <v>https://www.fabsurplus.com/sdi_catalog/salesItemDetails.do?id=100705</v>
      </c>
      <c r="B1006" s="5" t="s">
        <v>2718</v>
      </c>
      <c r="C1006" s="5" t="s">
        <v>2704</v>
      </c>
      <c r="D1006" s="5" t="s">
        <v>2719</v>
      </c>
      <c r="E1006" s="5" t="s">
        <v>2716</v>
      </c>
      <c r="F1006" s="5" t="s">
        <v>16</v>
      </c>
      <c r="G1006" s="5" t="s">
        <v>160</v>
      </c>
      <c r="H1006" s="5" t="s">
        <v>592</v>
      </c>
      <c r="I1006" s="5"/>
      <c r="J1006" s="5" t="s">
        <v>19</v>
      </c>
      <c r="K1006" s="5" t="s">
        <v>20</v>
      </c>
      <c r="L1006" s="7" t="s">
        <v>2720</v>
      </c>
    </row>
    <row r="1007" customFormat="false" ht="13.35" hidden="false" customHeight="true" outlineLevel="0" collapsed="false">
      <c r="A1007" s="2" t="str">
        <f aca="false">HYPERLINK("https://www.fabsurplus.com/sdi_catalog/salesItemDetails.do?id=68904")</f>
        <v>https://www.fabsurplus.com/sdi_catalog/salesItemDetails.do?id=68904</v>
      </c>
      <c r="B1007" s="2" t="s">
        <v>2721</v>
      </c>
      <c r="C1007" s="2" t="s">
        <v>2704</v>
      </c>
      <c r="D1007" s="2" t="s">
        <v>2722</v>
      </c>
      <c r="E1007" s="2" t="s">
        <v>2723</v>
      </c>
      <c r="F1007" s="2" t="s">
        <v>16</v>
      </c>
      <c r="G1007" s="2" t="s">
        <v>160</v>
      </c>
      <c r="H1007" s="2" t="s">
        <v>96</v>
      </c>
      <c r="I1007" s="3" t="n">
        <v>36678</v>
      </c>
      <c r="J1007" s="2" t="s">
        <v>19</v>
      </c>
      <c r="K1007" s="2" t="s">
        <v>20</v>
      </c>
      <c r="L1007" s="2" t="s">
        <v>2724</v>
      </c>
    </row>
    <row r="1008" customFormat="false" ht="13.35" hidden="false" customHeight="true" outlineLevel="0" collapsed="false">
      <c r="A1008" s="2" t="str">
        <f aca="false">HYPERLINK("https://www.fabsurplus.com/sdi_catalog/salesItemDetails.do?id=91829")</f>
        <v>https://www.fabsurplus.com/sdi_catalog/salesItemDetails.do?id=91829</v>
      </c>
      <c r="B1008" s="2" t="s">
        <v>2725</v>
      </c>
      <c r="C1008" s="2" t="s">
        <v>2704</v>
      </c>
      <c r="D1008" s="2" t="s">
        <v>2726</v>
      </c>
      <c r="E1008" s="2" t="s">
        <v>2727</v>
      </c>
      <c r="F1008" s="2" t="s">
        <v>16</v>
      </c>
      <c r="G1008" s="2"/>
      <c r="H1008" s="2"/>
      <c r="I1008" s="2"/>
      <c r="J1008" s="2" t="s">
        <v>47</v>
      </c>
      <c r="K1008" s="2"/>
      <c r="L1008" s="2"/>
    </row>
    <row r="1009" customFormat="false" ht="13.35" hidden="false" customHeight="true" outlineLevel="0" collapsed="false">
      <c r="A1009" s="5" t="str">
        <f aca="false">HYPERLINK("https://www.fabsurplus.com/sdi_catalog/salesItemDetails.do?id=91830")</f>
        <v>https://www.fabsurplus.com/sdi_catalog/salesItemDetails.do?id=91830</v>
      </c>
      <c r="B1009" s="5" t="s">
        <v>2728</v>
      </c>
      <c r="C1009" s="5" t="s">
        <v>2704</v>
      </c>
      <c r="D1009" s="5" t="s">
        <v>2729</v>
      </c>
      <c r="E1009" s="5" t="s">
        <v>2730</v>
      </c>
      <c r="F1009" s="5" t="s">
        <v>16</v>
      </c>
      <c r="G1009" s="5"/>
      <c r="H1009" s="5"/>
      <c r="I1009" s="5"/>
      <c r="J1009" s="5" t="s">
        <v>47</v>
      </c>
      <c r="K1009" s="5"/>
      <c r="L1009" s="5"/>
    </row>
    <row r="1010" customFormat="false" ht="13.35" hidden="false" customHeight="true" outlineLevel="0" collapsed="false">
      <c r="A1010" s="2" t="str">
        <f aca="false">HYPERLINK("https://www.fabsurplus.com/sdi_catalog/salesItemDetails.do?id=100642")</f>
        <v>https://www.fabsurplus.com/sdi_catalog/salesItemDetails.do?id=100642</v>
      </c>
      <c r="B1010" s="2" t="s">
        <v>2731</v>
      </c>
      <c r="C1010" s="2" t="s">
        <v>2708</v>
      </c>
      <c r="D1010" s="2" t="s">
        <v>2732</v>
      </c>
      <c r="E1010" s="2" t="s">
        <v>2733</v>
      </c>
      <c r="F1010" s="2" t="s">
        <v>125</v>
      </c>
      <c r="G1010" s="2" t="s">
        <v>160</v>
      </c>
      <c r="H1010" s="2"/>
      <c r="I1010" s="2"/>
      <c r="J1010" s="2" t="s">
        <v>19</v>
      </c>
      <c r="K1010" s="2"/>
      <c r="L1010" s="2" t="s">
        <v>474</v>
      </c>
    </row>
    <row r="1011" customFormat="false" ht="13.35" hidden="false" customHeight="true" outlineLevel="0" collapsed="false">
      <c r="A1011" s="5" t="str">
        <f aca="false">HYPERLINK("https://www.fabsurplus.com/sdi_catalog/salesItemDetails.do?id=100643")</f>
        <v>https://www.fabsurplus.com/sdi_catalog/salesItemDetails.do?id=100643</v>
      </c>
      <c r="B1011" s="5" t="s">
        <v>2734</v>
      </c>
      <c r="C1011" s="5" t="s">
        <v>2735</v>
      </c>
      <c r="D1011" s="5" t="s">
        <v>2709</v>
      </c>
      <c r="E1011" s="5" t="s">
        <v>1357</v>
      </c>
      <c r="F1011" s="5" t="s">
        <v>125</v>
      </c>
      <c r="G1011" s="5" t="s">
        <v>17</v>
      </c>
      <c r="H1011" s="5"/>
      <c r="I1011" s="5"/>
      <c r="J1011" s="5" t="s">
        <v>19</v>
      </c>
      <c r="K1011" s="5"/>
      <c r="L1011" s="5" t="s">
        <v>474</v>
      </c>
    </row>
    <row r="1012" customFormat="false" ht="13.35" hidden="false" customHeight="true" outlineLevel="0" collapsed="false">
      <c r="A1012" s="2" t="str">
        <f aca="false">HYPERLINK("https://www.fabsurplus.com/sdi_catalog/salesItemDetails.do?id=102883")</f>
        <v>https://www.fabsurplus.com/sdi_catalog/salesItemDetails.do?id=102883</v>
      </c>
      <c r="B1012" s="2" t="s">
        <v>2736</v>
      </c>
      <c r="C1012" s="2" t="s">
        <v>2737</v>
      </c>
      <c r="D1012" s="2" t="s">
        <v>2738</v>
      </c>
      <c r="E1012" s="2" t="s">
        <v>2739</v>
      </c>
      <c r="F1012" s="2" t="s">
        <v>16</v>
      </c>
      <c r="G1012" s="2" t="s">
        <v>36</v>
      </c>
      <c r="H1012" s="2"/>
      <c r="I1012" s="2"/>
      <c r="J1012" s="2" t="s">
        <v>19</v>
      </c>
      <c r="K1012" s="2"/>
      <c r="L1012" s="2" t="s">
        <v>2739</v>
      </c>
    </row>
    <row r="1013" customFormat="false" ht="13.35" hidden="false" customHeight="true" outlineLevel="0" collapsed="false">
      <c r="A1013" s="2" t="str">
        <f aca="false">HYPERLINK("https://www.fabsurplus.com/sdi_catalog/salesItemDetails.do?id=83592")</f>
        <v>https://www.fabsurplus.com/sdi_catalog/salesItemDetails.do?id=83592</v>
      </c>
      <c r="B1013" s="2" t="s">
        <v>2740</v>
      </c>
      <c r="C1013" s="2" t="s">
        <v>2737</v>
      </c>
      <c r="D1013" s="2" t="s">
        <v>2741</v>
      </c>
      <c r="E1013" s="2" t="s">
        <v>2742</v>
      </c>
      <c r="F1013" s="2" t="s">
        <v>16</v>
      </c>
      <c r="G1013" s="2" t="s">
        <v>17</v>
      </c>
      <c r="H1013" s="2" t="s">
        <v>592</v>
      </c>
      <c r="I1013" s="3" t="n">
        <v>38384</v>
      </c>
      <c r="J1013" s="2" t="s">
        <v>19</v>
      </c>
      <c r="K1013" s="2" t="s">
        <v>20</v>
      </c>
      <c r="L1013" s="4" t="s">
        <v>2743</v>
      </c>
    </row>
    <row r="1014" customFormat="false" ht="13.35" hidden="false" customHeight="true" outlineLevel="0" collapsed="false">
      <c r="A1014" s="5" t="str">
        <f aca="false">HYPERLINK("https://www.fabsurplus.com/sdi_catalog/salesItemDetails.do?id=101028")</f>
        <v>https://www.fabsurplus.com/sdi_catalog/salesItemDetails.do?id=101028</v>
      </c>
      <c r="B1014" s="5" t="s">
        <v>2744</v>
      </c>
      <c r="C1014" s="5" t="s">
        <v>2737</v>
      </c>
      <c r="D1014" s="5" t="s">
        <v>2741</v>
      </c>
      <c r="E1014" s="5" t="s">
        <v>2745</v>
      </c>
      <c r="F1014" s="5" t="s">
        <v>16</v>
      </c>
      <c r="G1014" s="5" t="s">
        <v>154</v>
      </c>
      <c r="H1014" s="5" t="s">
        <v>592</v>
      </c>
      <c r="I1014" s="6" t="n">
        <v>38443</v>
      </c>
      <c r="J1014" s="5" t="s">
        <v>19</v>
      </c>
      <c r="K1014" s="5" t="s">
        <v>20</v>
      </c>
      <c r="L1014" s="7" t="s">
        <v>2746</v>
      </c>
    </row>
    <row r="1015" customFormat="false" ht="13.35" hidden="false" customHeight="true" outlineLevel="0" collapsed="false">
      <c r="A1015" s="5" t="str">
        <f aca="false">HYPERLINK("https://www.fabsurplus.com/sdi_catalog/salesItemDetails.do?id=75403")</f>
        <v>https://www.fabsurplus.com/sdi_catalog/salesItemDetails.do?id=75403</v>
      </c>
      <c r="B1015" s="5" t="s">
        <v>2747</v>
      </c>
      <c r="C1015" s="5" t="s">
        <v>2737</v>
      </c>
      <c r="D1015" s="5" t="s">
        <v>2748</v>
      </c>
      <c r="E1015" s="5" t="s">
        <v>2749</v>
      </c>
      <c r="F1015" s="5" t="s">
        <v>125</v>
      </c>
      <c r="G1015" s="5" t="s">
        <v>17</v>
      </c>
      <c r="H1015" s="5" t="s">
        <v>18</v>
      </c>
      <c r="I1015" s="6" t="n">
        <v>38473.0833333333</v>
      </c>
      <c r="J1015" s="5" t="s">
        <v>19</v>
      </c>
      <c r="K1015" s="5" t="s">
        <v>20</v>
      </c>
      <c r="L1015" s="7" t="s">
        <v>2750</v>
      </c>
    </row>
    <row r="1016" customFormat="false" ht="13.35" hidden="false" customHeight="true" outlineLevel="0" collapsed="false">
      <c r="A1016" s="5" t="str">
        <f aca="false">HYPERLINK("https://www.fabsurplus.com/sdi_catalog/salesItemDetails.do?id=92431")</f>
        <v>https://www.fabsurplus.com/sdi_catalog/salesItemDetails.do?id=92431</v>
      </c>
      <c r="B1016" s="5" t="s">
        <v>2751</v>
      </c>
      <c r="C1016" s="5" t="s">
        <v>2737</v>
      </c>
      <c r="D1016" s="5" t="s">
        <v>2748</v>
      </c>
      <c r="E1016" s="5" t="s">
        <v>2752</v>
      </c>
      <c r="F1016" s="5" t="s">
        <v>16</v>
      </c>
      <c r="G1016" s="5"/>
      <c r="H1016" s="5"/>
      <c r="I1016" s="5"/>
      <c r="J1016" s="5" t="s">
        <v>47</v>
      </c>
      <c r="K1016" s="5"/>
      <c r="L1016" s="5" t="s">
        <v>48</v>
      </c>
    </row>
    <row r="1017" customFormat="false" ht="13.35" hidden="false" customHeight="true" outlineLevel="0" collapsed="false">
      <c r="A1017" s="2" t="str">
        <f aca="false">HYPERLINK("https://www.fabsurplus.com/sdi_catalog/salesItemDetails.do?id=93835")</f>
        <v>https://www.fabsurplus.com/sdi_catalog/salesItemDetails.do?id=93835</v>
      </c>
      <c r="B1017" s="2" t="s">
        <v>2753</v>
      </c>
      <c r="C1017" s="2" t="s">
        <v>2737</v>
      </c>
      <c r="D1017" s="2" t="s">
        <v>2754</v>
      </c>
      <c r="E1017" s="2" t="s">
        <v>2745</v>
      </c>
      <c r="F1017" s="2" t="s">
        <v>16</v>
      </c>
      <c r="G1017" s="2" t="s">
        <v>17</v>
      </c>
      <c r="H1017" s="2" t="s">
        <v>18</v>
      </c>
      <c r="I1017" s="3" t="n">
        <v>40878</v>
      </c>
      <c r="J1017" s="2" t="s">
        <v>47</v>
      </c>
      <c r="K1017" s="2" t="s">
        <v>20</v>
      </c>
      <c r="L1017" s="4" t="s">
        <v>2755</v>
      </c>
    </row>
    <row r="1018" customFormat="false" ht="13.35" hidden="false" customHeight="true" outlineLevel="0" collapsed="false">
      <c r="A1018" s="2" t="str">
        <f aca="false">HYPERLINK("https://www.fabsurplus.com/sdi_catalog/salesItemDetails.do?id=101681")</f>
        <v>https://www.fabsurplus.com/sdi_catalog/salesItemDetails.do?id=101681</v>
      </c>
      <c r="B1018" s="2" t="s">
        <v>2756</v>
      </c>
      <c r="C1018" s="2" t="s">
        <v>2737</v>
      </c>
      <c r="D1018" s="2" t="s">
        <v>2757</v>
      </c>
      <c r="E1018" s="2" t="s">
        <v>2758</v>
      </c>
      <c r="F1018" s="2" t="s">
        <v>16</v>
      </c>
      <c r="G1018" s="2"/>
      <c r="H1018" s="2"/>
      <c r="I1018" s="2"/>
      <c r="J1018" s="2" t="s">
        <v>47</v>
      </c>
      <c r="K1018" s="2"/>
      <c r="L1018" s="2" t="s">
        <v>474</v>
      </c>
    </row>
    <row r="1019" customFormat="false" ht="13.35" hidden="false" customHeight="true" outlineLevel="0" collapsed="false">
      <c r="A1019" s="2" t="str">
        <f aca="false">HYPERLINK("https://www.fabsurplus.com/sdi_catalog/salesItemDetails.do?id=91128")</f>
        <v>https://www.fabsurplus.com/sdi_catalog/salesItemDetails.do?id=91128</v>
      </c>
      <c r="B1019" s="2" t="s">
        <v>2759</v>
      </c>
      <c r="C1019" s="2" t="s">
        <v>2737</v>
      </c>
      <c r="D1019" s="2" t="s">
        <v>2760</v>
      </c>
      <c r="E1019" s="2" t="s">
        <v>2761</v>
      </c>
      <c r="F1019" s="2" t="s">
        <v>16</v>
      </c>
      <c r="G1019" s="2" t="s">
        <v>2762</v>
      </c>
      <c r="H1019" s="2" t="s">
        <v>18</v>
      </c>
      <c r="I1019" s="3" t="n">
        <v>35947</v>
      </c>
      <c r="J1019" s="2" t="s">
        <v>19</v>
      </c>
      <c r="K1019" s="2" t="s">
        <v>20</v>
      </c>
      <c r="L1019" s="4" t="s">
        <v>2763</v>
      </c>
    </row>
    <row r="1020" customFormat="false" ht="13.35" hidden="false" customHeight="true" outlineLevel="0" collapsed="false">
      <c r="A1020" s="2" t="str">
        <f aca="false">HYPERLINK("https://www.fabsurplus.com/sdi_catalog/salesItemDetails.do?id=91357")</f>
        <v>https://www.fabsurplus.com/sdi_catalog/salesItemDetails.do?id=91357</v>
      </c>
      <c r="B1020" s="2" t="s">
        <v>2764</v>
      </c>
      <c r="C1020" s="2" t="s">
        <v>2737</v>
      </c>
      <c r="D1020" s="2" t="s">
        <v>2765</v>
      </c>
      <c r="E1020" s="2" t="s">
        <v>2766</v>
      </c>
      <c r="F1020" s="2" t="s">
        <v>16</v>
      </c>
      <c r="G1020" s="2" t="s">
        <v>36</v>
      </c>
      <c r="H1020" s="2"/>
      <c r="I1020" s="2"/>
      <c r="J1020" s="2" t="s">
        <v>19</v>
      </c>
      <c r="K1020" s="2"/>
      <c r="L1020" s="2" t="s">
        <v>112</v>
      </c>
    </row>
    <row r="1021" customFormat="false" ht="13.35" hidden="false" customHeight="true" outlineLevel="0" collapsed="false">
      <c r="A1021" s="5" t="str">
        <f aca="false">HYPERLINK("https://www.fabsurplus.com/sdi_catalog/salesItemDetails.do?id=91358")</f>
        <v>https://www.fabsurplus.com/sdi_catalog/salesItemDetails.do?id=91358</v>
      </c>
      <c r="B1021" s="5" t="s">
        <v>2767</v>
      </c>
      <c r="C1021" s="5" t="s">
        <v>2737</v>
      </c>
      <c r="D1021" s="5" t="s">
        <v>2765</v>
      </c>
      <c r="E1021" s="5" t="s">
        <v>2766</v>
      </c>
      <c r="F1021" s="5" t="s">
        <v>16</v>
      </c>
      <c r="G1021" s="5" t="s">
        <v>36</v>
      </c>
      <c r="H1021" s="5"/>
      <c r="I1021" s="5"/>
      <c r="J1021" s="5" t="s">
        <v>19</v>
      </c>
      <c r="K1021" s="5"/>
      <c r="L1021" s="5" t="s">
        <v>112</v>
      </c>
    </row>
    <row r="1022" customFormat="false" ht="13.35" hidden="false" customHeight="true" outlineLevel="0" collapsed="false">
      <c r="A1022" s="2" t="str">
        <f aca="false">HYPERLINK("https://www.fabsurplus.com/sdi_catalog/salesItemDetails.do?id=91359")</f>
        <v>https://www.fabsurplus.com/sdi_catalog/salesItemDetails.do?id=91359</v>
      </c>
      <c r="B1022" s="2" t="s">
        <v>2768</v>
      </c>
      <c r="C1022" s="2" t="s">
        <v>2737</v>
      </c>
      <c r="D1022" s="2" t="s">
        <v>2765</v>
      </c>
      <c r="E1022" s="2" t="s">
        <v>2766</v>
      </c>
      <c r="F1022" s="2" t="s">
        <v>16</v>
      </c>
      <c r="G1022" s="2" t="s">
        <v>36</v>
      </c>
      <c r="H1022" s="2"/>
      <c r="I1022" s="2"/>
      <c r="J1022" s="2" t="s">
        <v>19</v>
      </c>
      <c r="K1022" s="2"/>
      <c r="L1022" s="2" t="s">
        <v>112</v>
      </c>
    </row>
    <row r="1023" customFormat="false" ht="13.35" hidden="false" customHeight="true" outlineLevel="0" collapsed="false">
      <c r="A1023" s="2" t="str">
        <f aca="false">HYPERLINK("https://www.fabsurplus.com/sdi_catalog/salesItemDetails.do?id=91360")</f>
        <v>https://www.fabsurplus.com/sdi_catalog/salesItemDetails.do?id=91360</v>
      </c>
      <c r="B1023" s="2" t="s">
        <v>2769</v>
      </c>
      <c r="C1023" s="2" t="s">
        <v>2737</v>
      </c>
      <c r="D1023" s="2" t="s">
        <v>2765</v>
      </c>
      <c r="E1023" s="2" t="s">
        <v>2766</v>
      </c>
      <c r="F1023" s="2" t="s">
        <v>16</v>
      </c>
      <c r="G1023" s="2" t="s">
        <v>36</v>
      </c>
      <c r="H1023" s="2"/>
      <c r="I1023" s="2"/>
      <c r="J1023" s="2" t="s">
        <v>19</v>
      </c>
      <c r="K1023" s="2"/>
      <c r="L1023" s="2" t="s">
        <v>112</v>
      </c>
    </row>
    <row r="1024" customFormat="false" ht="13.35" hidden="false" customHeight="true" outlineLevel="0" collapsed="false">
      <c r="A1024" s="5" t="str">
        <f aca="false">HYPERLINK("https://www.fabsurplus.com/sdi_catalog/salesItemDetails.do?id=91361")</f>
        <v>https://www.fabsurplus.com/sdi_catalog/salesItemDetails.do?id=91361</v>
      </c>
      <c r="B1024" s="5" t="s">
        <v>2770</v>
      </c>
      <c r="C1024" s="5" t="s">
        <v>2737</v>
      </c>
      <c r="D1024" s="5" t="s">
        <v>2765</v>
      </c>
      <c r="E1024" s="5" t="s">
        <v>2766</v>
      </c>
      <c r="F1024" s="5" t="s">
        <v>16</v>
      </c>
      <c r="G1024" s="5" t="s">
        <v>36</v>
      </c>
      <c r="H1024" s="5"/>
      <c r="I1024" s="5"/>
      <c r="J1024" s="5" t="s">
        <v>19</v>
      </c>
      <c r="K1024" s="5"/>
      <c r="L1024" s="5" t="s">
        <v>112</v>
      </c>
    </row>
    <row r="1025" customFormat="false" ht="13.35" hidden="false" customHeight="true" outlineLevel="0" collapsed="false">
      <c r="A1025" s="2" t="str">
        <f aca="false">HYPERLINK("https://www.fabsurplus.com/sdi_catalog/salesItemDetails.do?id=91362")</f>
        <v>https://www.fabsurplus.com/sdi_catalog/salesItemDetails.do?id=91362</v>
      </c>
      <c r="B1025" s="2" t="s">
        <v>2771</v>
      </c>
      <c r="C1025" s="2" t="s">
        <v>2737</v>
      </c>
      <c r="D1025" s="2" t="s">
        <v>2765</v>
      </c>
      <c r="E1025" s="2" t="s">
        <v>2766</v>
      </c>
      <c r="F1025" s="2" t="s">
        <v>16</v>
      </c>
      <c r="G1025" s="2" t="s">
        <v>36</v>
      </c>
      <c r="H1025" s="2"/>
      <c r="I1025" s="2"/>
      <c r="J1025" s="2" t="s">
        <v>19</v>
      </c>
      <c r="K1025" s="2"/>
      <c r="L1025" s="2" t="s">
        <v>112</v>
      </c>
    </row>
    <row r="1026" customFormat="false" ht="13.35" hidden="false" customHeight="true" outlineLevel="0" collapsed="false">
      <c r="A1026" s="5" t="str">
        <f aca="false">HYPERLINK("https://www.fabsurplus.com/sdi_catalog/salesItemDetails.do?id=91363")</f>
        <v>https://www.fabsurplus.com/sdi_catalog/salesItemDetails.do?id=91363</v>
      </c>
      <c r="B1026" s="5" t="s">
        <v>2772</v>
      </c>
      <c r="C1026" s="5" t="s">
        <v>2737</v>
      </c>
      <c r="D1026" s="5" t="s">
        <v>2773</v>
      </c>
      <c r="E1026" s="5" t="s">
        <v>2766</v>
      </c>
      <c r="F1026" s="5" t="s">
        <v>16</v>
      </c>
      <c r="G1026" s="5" t="s">
        <v>17</v>
      </c>
      <c r="H1026" s="5"/>
      <c r="I1026" s="6" t="n">
        <v>37773</v>
      </c>
      <c r="J1026" s="5" t="s">
        <v>19</v>
      </c>
      <c r="K1026" s="5"/>
      <c r="L1026" s="5" t="s">
        <v>112</v>
      </c>
    </row>
    <row r="1027" customFormat="false" ht="13.35" hidden="false" customHeight="true" outlineLevel="0" collapsed="false">
      <c r="A1027" s="5" t="str">
        <f aca="false">HYPERLINK("https://www.fabsurplus.com/sdi_catalog/salesItemDetails.do?id=91364")</f>
        <v>https://www.fabsurplus.com/sdi_catalog/salesItemDetails.do?id=91364</v>
      </c>
      <c r="B1027" s="5" t="s">
        <v>2774</v>
      </c>
      <c r="C1027" s="5" t="s">
        <v>2737</v>
      </c>
      <c r="D1027" s="5" t="s">
        <v>2773</v>
      </c>
      <c r="E1027" s="5" t="s">
        <v>2766</v>
      </c>
      <c r="F1027" s="5" t="s">
        <v>16</v>
      </c>
      <c r="G1027" s="5"/>
      <c r="H1027" s="5"/>
      <c r="I1027" s="5"/>
      <c r="J1027" s="5" t="s">
        <v>19</v>
      </c>
      <c r="K1027" s="5"/>
      <c r="L1027" s="5" t="s">
        <v>112</v>
      </c>
    </row>
    <row r="1028" customFormat="false" ht="13.35" hidden="false" customHeight="true" outlineLevel="0" collapsed="false">
      <c r="A1028" s="2" t="str">
        <f aca="false">HYPERLINK("https://www.fabsurplus.com/sdi_catalog/salesItemDetails.do?id=91365")</f>
        <v>https://www.fabsurplus.com/sdi_catalog/salesItemDetails.do?id=91365</v>
      </c>
      <c r="B1028" s="2" t="s">
        <v>2775</v>
      </c>
      <c r="C1028" s="2" t="s">
        <v>2737</v>
      </c>
      <c r="D1028" s="2" t="s">
        <v>2773</v>
      </c>
      <c r="E1028" s="2" t="s">
        <v>2766</v>
      </c>
      <c r="F1028" s="2" t="s">
        <v>16</v>
      </c>
      <c r="G1028" s="2"/>
      <c r="H1028" s="2"/>
      <c r="I1028" s="2"/>
      <c r="J1028" s="2" t="s">
        <v>19</v>
      </c>
      <c r="K1028" s="2"/>
      <c r="L1028" s="2" t="s">
        <v>112</v>
      </c>
    </row>
    <row r="1029" customFormat="false" ht="13.35" hidden="false" customHeight="true" outlineLevel="0" collapsed="false">
      <c r="A1029" s="5" t="str">
        <f aca="false">HYPERLINK("https://www.fabsurplus.com/sdi_catalog/salesItemDetails.do?id=93072")</f>
        <v>https://www.fabsurplus.com/sdi_catalog/salesItemDetails.do?id=93072</v>
      </c>
      <c r="B1029" s="5" t="s">
        <v>2776</v>
      </c>
      <c r="C1029" s="5" t="s">
        <v>2737</v>
      </c>
      <c r="D1029" s="5" t="s">
        <v>2773</v>
      </c>
      <c r="E1029" s="5" t="s">
        <v>2766</v>
      </c>
      <c r="F1029" s="5" t="s">
        <v>16</v>
      </c>
      <c r="G1029" s="5" t="s">
        <v>36</v>
      </c>
      <c r="H1029" s="5" t="s">
        <v>26</v>
      </c>
      <c r="I1029" s="6" t="n">
        <v>38504</v>
      </c>
      <c r="J1029" s="5" t="s">
        <v>19</v>
      </c>
      <c r="K1029" s="5" t="s">
        <v>20</v>
      </c>
      <c r="L1029" s="7" t="s">
        <v>2777</v>
      </c>
    </row>
    <row r="1030" customFormat="false" ht="13.35" hidden="false" customHeight="true" outlineLevel="0" collapsed="false">
      <c r="A1030" s="5" t="str">
        <f aca="false">HYPERLINK("https://www.fabsurplus.com/sdi_catalog/salesItemDetails.do?id=91366")</f>
        <v>https://www.fabsurplus.com/sdi_catalog/salesItemDetails.do?id=91366</v>
      </c>
      <c r="B1030" s="5" t="s">
        <v>2778</v>
      </c>
      <c r="C1030" s="5" t="s">
        <v>2737</v>
      </c>
      <c r="D1030" s="5" t="s">
        <v>2779</v>
      </c>
      <c r="E1030" s="5" t="s">
        <v>2766</v>
      </c>
      <c r="F1030" s="5" t="s">
        <v>16</v>
      </c>
      <c r="G1030" s="5"/>
      <c r="H1030" s="5"/>
      <c r="I1030" s="5"/>
      <c r="J1030" s="5" t="s">
        <v>19</v>
      </c>
      <c r="K1030" s="5"/>
      <c r="L1030" s="5" t="s">
        <v>112</v>
      </c>
    </row>
    <row r="1031" customFormat="false" ht="13.35" hidden="false" customHeight="true" outlineLevel="0" collapsed="false">
      <c r="A1031" s="2" t="str">
        <f aca="false">HYPERLINK("https://www.fabsurplus.com/sdi_catalog/salesItemDetails.do?id=91367")</f>
        <v>https://www.fabsurplus.com/sdi_catalog/salesItemDetails.do?id=91367</v>
      </c>
      <c r="B1031" s="2" t="s">
        <v>2780</v>
      </c>
      <c r="C1031" s="2" t="s">
        <v>2737</v>
      </c>
      <c r="D1031" s="2" t="s">
        <v>2779</v>
      </c>
      <c r="E1031" s="2" t="s">
        <v>2766</v>
      </c>
      <c r="F1031" s="2" t="s">
        <v>16</v>
      </c>
      <c r="G1031" s="2"/>
      <c r="H1031" s="2"/>
      <c r="I1031" s="2"/>
      <c r="J1031" s="2" t="s">
        <v>19</v>
      </c>
      <c r="K1031" s="2"/>
      <c r="L1031" s="2" t="s">
        <v>112</v>
      </c>
    </row>
    <row r="1032" customFormat="false" ht="13.35" hidden="false" customHeight="true" outlineLevel="0" collapsed="false">
      <c r="A1032" s="5" t="str">
        <f aca="false">HYPERLINK("https://www.fabsurplus.com/sdi_catalog/salesItemDetails.do?id=93073")</f>
        <v>https://www.fabsurplus.com/sdi_catalog/salesItemDetails.do?id=93073</v>
      </c>
      <c r="B1032" s="5" t="s">
        <v>2781</v>
      </c>
      <c r="C1032" s="5" t="s">
        <v>2737</v>
      </c>
      <c r="D1032" s="5" t="s">
        <v>2779</v>
      </c>
      <c r="E1032" s="5" t="s">
        <v>2766</v>
      </c>
      <c r="F1032" s="5" t="s">
        <v>16</v>
      </c>
      <c r="G1032" s="5" t="s">
        <v>663</v>
      </c>
      <c r="H1032" s="5"/>
      <c r="I1032" s="5"/>
      <c r="J1032" s="5" t="s">
        <v>19</v>
      </c>
      <c r="K1032" s="5"/>
      <c r="L1032" s="5" t="s">
        <v>112</v>
      </c>
    </row>
    <row r="1033" customFormat="false" ht="13.35" hidden="false" customHeight="true" outlineLevel="0" collapsed="false">
      <c r="A1033" s="5" t="str">
        <f aca="false">HYPERLINK("https://www.fabsurplus.com/sdi_catalog/salesItemDetails.do?id=100938")</f>
        <v>https://www.fabsurplus.com/sdi_catalog/salesItemDetails.do?id=100938</v>
      </c>
      <c r="B1033" s="5" t="s">
        <v>2782</v>
      </c>
      <c r="C1033" s="5" t="s">
        <v>2783</v>
      </c>
      <c r="D1033" s="5" t="s">
        <v>2784</v>
      </c>
      <c r="E1033" s="5" t="s">
        <v>2785</v>
      </c>
      <c r="F1033" s="5" t="s">
        <v>58</v>
      </c>
      <c r="G1033" s="5" t="s">
        <v>240</v>
      </c>
      <c r="H1033" s="5" t="s">
        <v>26</v>
      </c>
      <c r="I1033" s="6" t="n">
        <v>38869</v>
      </c>
      <c r="J1033" s="5" t="s">
        <v>19</v>
      </c>
      <c r="K1033" s="5" t="s">
        <v>20</v>
      </c>
      <c r="L1033" s="7" t="s">
        <v>2786</v>
      </c>
    </row>
    <row r="1034" customFormat="false" ht="13.35" hidden="false" customHeight="true" outlineLevel="0" collapsed="false">
      <c r="A1034" s="2" t="str">
        <f aca="false">HYPERLINK("https://www.fabsurplus.com/sdi_catalog/salesItemDetails.do?id=101850")</f>
        <v>https://www.fabsurplus.com/sdi_catalog/salesItemDetails.do?id=101850</v>
      </c>
      <c r="B1034" s="2" t="s">
        <v>2787</v>
      </c>
      <c r="C1034" s="2" t="s">
        <v>2788</v>
      </c>
      <c r="D1034" s="2" t="s">
        <v>2789</v>
      </c>
      <c r="E1034" s="2" t="s">
        <v>2790</v>
      </c>
      <c r="F1034" s="2" t="s">
        <v>16</v>
      </c>
      <c r="G1034" s="2" t="s">
        <v>1964</v>
      </c>
      <c r="H1034" s="2" t="s">
        <v>26</v>
      </c>
      <c r="I1034" s="3" t="n">
        <v>41671</v>
      </c>
      <c r="J1034" s="2" t="s">
        <v>19</v>
      </c>
      <c r="K1034" s="2" t="s">
        <v>20</v>
      </c>
      <c r="L1034" s="2"/>
    </row>
    <row r="1035" customFormat="false" ht="13.35" hidden="false" customHeight="true" outlineLevel="0" collapsed="false">
      <c r="A1035" s="2" t="str">
        <f aca="false">HYPERLINK("https://www.fabsurplus.com/sdi_catalog/salesItemDetails.do?id=102590")</f>
        <v>https://www.fabsurplus.com/sdi_catalog/salesItemDetails.do?id=102590</v>
      </c>
      <c r="B1035" s="2" t="s">
        <v>2791</v>
      </c>
      <c r="C1035" s="2" t="s">
        <v>2792</v>
      </c>
      <c r="D1035" s="2" t="s">
        <v>2793</v>
      </c>
      <c r="E1035" s="2" t="s">
        <v>2794</v>
      </c>
      <c r="F1035" s="2" t="s">
        <v>125</v>
      </c>
      <c r="G1035" s="2" t="s">
        <v>2492</v>
      </c>
      <c r="H1035" s="2" t="s">
        <v>26</v>
      </c>
      <c r="I1035" s="3" t="n">
        <v>37773</v>
      </c>
      <c r="J1035" s="2" t="s">
        <v>19</v>
      </c>
      <c r="K1035" s="2" t="s">
        <v>20</v>
      </c>
      <c r="L1035" s="4" t="s">
        <v>2795</v>
      </c>
    </row>
    <row r="1036" customFormat="false" ht="13.35" hidden="false" customHeight="true" outlineLevel="0" collapsed="false">
      <c r="A1036" s="5" t="str">
        <f aca="false">HYPERLINK("https://www.fabsurplus.com/sdi_catalog/salesItemDetails.do?id=103140")</f>
        <v>https://www.fabsurplus.com/sdi_catalog/salesItemDetails.do?id=103140</v>
      </c>
      <c r="B1036" s="5" t="s">
        <v>2796</v>
      </c>
      <c r="C1036" s="5" t="s">
        <v>2797</v>
      </c>
      <c r="D1036" s="5" t="s">
        <v>2798</v>
      </c>
      <c r="E1036" s="5" t="s">
        <v>2799</v>
      </c>
      <c r="F1036" s="5" t="s">
        <v>16</v>
      </c>
      <c r="G1036" s="5" t="s">
        <v>493</v>
      </c>
      <c r="H1036" s="5" t="s">
        <v>18</v>
      </c>
      <c r="I1036" s="6" t="n">
        <v>37773</v>
      </c>
      <c r="J1036" s="5" t="s">
        <v>19</v>
      </c>
      <c r="K1036" s="5" t="s">
        <v>2800</v>
      </c>
      <c r="L1036" s="7" t="s">
        <v>2801</v>
      </c>
    </row>
    <row r="1037" customFormat="false" ht="13.35" hidden="false" customHeight="true" outlineLevel="0" collapsed="false">
      <c r="A1037" s="2" t="str">
        <f aca="false">HYPERLINK("https://www.fabsurplus.com/sdi_catalog/salesItemDetails.do?id=101338")</f>
        <v>https://www.fabsurplus.com/sdi_catalog/salesItemDetails.do?id=101338</v>
      </c>
      <c r="B1037" s="2" t="s">
        <v>2802</v>
      </c>
      <c r="C1037" s="2" t="s">
        <v>2797</v>
      </c>
      <c r="D1037" s="2" t="s">
        <v>2803</v>
      </c>
      <c r="E1037" s="2" t="s">
        <v>2804</v>
      </c>
      <c r="F1037" s="2" t="s">
        <v>16</v>
      </c>
      <c r="G1037" s="2" t="s">
        <v>862</v>
      </c>
      <c r="H1037" s="2"/>
      <c r="I1037" s="2"/>
      <c r="J1037" s="2" t="s">
        <v>19</v>
      </c>
      <c r="K1037" s="2"/>
      <c r="L1037" s="2"/>
    </row>
    <row r="1038" customFormat="false" ht="13.35" hidden="false" customHeight="true" outlineLevel="0" collapsed="false">
      <c r="A1038" s="2" t="str">
        <f aca="false">HYPERLINK("https://www.fabsurplus.com/sdi_catalog/salesItemDetails.do?id=101819")</f>
        <v>https://www.fabsurplus.com/sdi_catalog/salesItemDetails.do?id=101819</v>
      </c>
      <c r="B1038" s="2" t="s">
        <v>2805</v>
      </c>
      <c r="C1038" s="2" t="s">
        <v>2797</v>
      </c>
      <c r="D1038" s="2" t="s">
        <v>2806</v>
      </c>
      <c r="E1038" s="2" t="s">
        <v>2807</v>
      </c>
      <c r="F1038" s="2" t="s">
        <v>16</v>
      </c>
      <c r="G1038" s="2" t="s">
        <v>862</v>
      </c>
      <c r="H1038" s="2"/>
      <c r="I1038" s="2"/>
      <c r="J1038" s="2" t="s">
        <v>47</v>
      </c>
      <c r="K1038" s="2"/>
      <c r="L1038" s="2"/>
    </row>
    <row r="1039" customFormat="false" ht="13.35" hidden="false" customHeight="true" outlineLevel="0" collapsed="false">
      <c r="A1039" s="5" t="str">
        <f aca="false">HYPERLINK("https://www.fabsurplus.com/sdi_catalog/salesItemDetails.do?id=103000")</f>
        <v>https://www.fabsurplus.com/sdi_catalog/salesItemDetails.do?id=103000</v>
      </c>
      <c r="B1039" s="5" t="s">
        <v>2808</v>
      </c>
      <c r="C1039" s="5" t="s">
        <v>2797</v>
      </c>
      <c r="D1039" s="5" t="s">
        <v>2809</v>
      </c>
      <c r="E1039" s="5" t="s">
        <v>2810</v>
      </c>
      <c r="F1039" s="5" t="s">
        <v>16</v>
      </c>
      <c r="G1039" s="5"/>
      <c r="H1039" s="5"/>
      <c r="I1039" s="5"/>
      <c r="J1039" s="5" t="s">
        <v>19</v>
      </c>
      <c r="K1039" s="5"/>
      <c r="L1039" s="5"/>
    </row>
    <row r="1040" customFormat="false" ht="13.35" hidden="false" customHeight="true" outlineLevel="0" collapsed="false">
      <c r="A1040" s="2" t="str">
        <f aca="false">HYPERLINK("https://www.fabsurplus.com/sdi_catalog/salesItemDetails.do?id=103001")</f>
        <v>https://www.fabsurplus.com/sdi_catalog/salesItemDetails.do?id=103001</v>
      </c>
      <c r="B1040" s="2" t="s">
        <v>2811</v>
      </c>
      <c r="C1040" s="2" t="s">
        <v>2797</v>
      </c>
      <c r="D1040" s="2" t="s">
        <v>2812</v>
      </c>
      <c r="E1040" s="2" t="s">
        <v>2810</v>
      </c>
      <c r="F1040" s="2" t="s">
        <v>16</v>
      </c>
      <c r="G1040" s="2" t="s">
        <v>17</v>
      </c>
      <c r="H1040" s="2"/>
      <c r="I1040" s="3" t="n">
        <v>38504</v>
      </c>
      <c r="J1040" s="2" t="s">
        <v>19</v>
      </c>
      <c r="K1040" s="2"/>
      <c r="L1040" s="4" t="s">
        <v>2813</v>
      </c>
    </row>
    <row r="1041" customFormat="false" ht="13.35" hidden="false" customHeight="true" outlineLevel="0" collapsed="false">
      <c r="A1041" s="2" t="str">
        <f aca="false">HYPERLINK("https://www.fabsurplus.com/sdi_catalog/salesItemDetails.do?id=103155")</f>
        <v>https://www.fabsurplus.com/sdi_catalog/salesItemDetails.do?id=103155</v>
      </c>
      <c r="B1041" s="2" t="s">
        <v>2814</v>
      </c>
      <c r="C1041" s="2" t="s">
        <v>2815</v>
      </c>
      <c r="D1041" s="2" t="s">
        <v>2816</v>
      </c>
      <c r="E1041" s="2" t="s">
        <v>2817</v>
      </c>
      <c r="F1041" s="2" t="s">
        <v>16</v>
      </c>
      <c r="G1041" s="2"/>
      <c r="H1041" s="2"/>
      <c r="I1041" s="2"/>
      <c r="J1041" s="2" t="s">
        <v>47</v>
      </c>
      <c r="K1041" s="2"/>
      <c r="L1041" s="4" t="s">
        <v>2818</v>
      </c>
    </row>
    <row r="1042" customFormat="false" ht="13.35" hidden="false" customHeight="true" outlineLevel="0" collapsed="false">
      <c r="A1042" s="2" t="str">
        <f aca="false">HYPERLINK("https://www.fabsurplus.com/sdi_catalog/salesItemDetails.do?id=102567")</f>
        <v>https://www.fabsurplus.com/sdi_catalog/salesItemDetails.do?id=102567</v>
      </c>
      <c r="B1042" s="2" t="s">
        <v>2819</v>
      </c>
      <c r="C1042" s="2" t="s">
        <v>2820</v>
      </c>
      <c r="D1042" s="2" t="s">
        <v>2821</v>
      </c>
      <c r="E1042" s="2" t="s">
        <v>257</v>
      </c>
      <c r="F1042" s="2" t="s">
        <v>16</v>
      </c>
      <c r="G1042" s="2" t="s">
        <v>181</v>
      </c>
      <c r="H1042" s="2"/>
      <c r="I1042" s="2"/>
      <c r="J1042" s="2" t="s">
        <v>47</v>
      </c>
      <c r="K1042" s="2"/>
      <c r="L1042" s="2"/>
    </row>
    <row r="1043" customFormat="false" ht="13.35" hidden="false" customHeight="true" outlineLevel="0" collapsed="false">
      <c r="A1043" s="5" t="str">
        <f aca="false">HYPERLINK("https://www.fabsurplus.com/sdi_catalog/salesItemDetails.do?id=102599")</f>
        <v>https://www.fabsurplus.com/sdi_catalog/salesItemDetails.do?id=102599</v>
      </c>
      <c r="B1043" s="5" t="s">
        <v>2822</v>
      </c>
      <c r="C1043" s="5" t="s">
        <v>2823</v>
      </c>
      <c r="D1043" s="5" t="s">
        <v>2824</v>
      </c>
      <c r="E1043" s="5" t="s">
        <v>2825</v>
      </c>
      <c r="F1043" s="5" t="s">
        <v>16</v>
      </c>
      <c r="G1043" s="5" t="s">
        <v>36</v>
      </c>
      <c r="H1043" s="5" t="s">
        <v>18</v>
      </c>
      <c r="I1043" s="6" t="n">
        <v>42887</v>
      </c>
      <c r="J1043" s="5" t="s">
        <v>19</v>
      </c>
      <c r="K1043" s="5" t="s">
        <v>20</v>
      </c>
      <c r="L1043" s="7" t="s">
        <v>2826</v>
      </c>
    </row>
    <row r="1044" customFormat="false" ht="13.35" hidden="false" customHeight="true" outlineLevel="0" collapsed="false">
      <c r="A1044" s="2" t="str">
        <f aca="false">HYPERLINK("https://www.fabsurplus.com/sdi_catalog/salesItemDetails.do?id=103156")</f>
        <v>https://www.fabsurplus.com/sdi_catalog/salesItemDetails.do?id=103156</v>
      </c>
      <c r="B1044" s="2" t="s">
        <v>2827</v>
      </c>
      <c r="C1044" s="2" t="s">
        <v>2828</v>
      </c>
      <c r="D1044" s="2" t="s">
        <v>2829</v>
      </c>
      <c r="E1044" s="2" t="s">
        <v>2830</v>
      </c>
      <c r="F1044" s="2" t="s">
        <v>16</v>
      </c>
      <c r="G1044" s="2" t="s">
        <v>36</v>
      </c>
      <c r="H1044" s="2"/>
      <c r="I1044" s="3" t="n">
        <v>43252</v>
      </c>
      <c r="J1044" s="2" t="s">
        <v>47</v>
      </c>
      <c r="K1044" s="2"/>
      <c r="L1044" s="4" t="s">
        <v>2831</v>
      </c>
    </row>
    <row r="1045" customFormat="false" ht="13.35" hidden="false" customHeight="true" outlineLevel="0" collapsed="false">
      <c r="A1045" s="2" t="str">
        <f aca="false">HYPERLINK("https://www.fabsurplus.com/sdi_catalog/salesItemDetails.do?id=9954")</f>
        <v>https://www.fabsurplus.com/sdi_catalog/salesItemDetails.do?id=9954</v>
      </c>
      <c r="B1045" s="2" t="s">
        <v>2832</v>
      </c>
      <c r="C1045" s="2" t="s">
        <v>2833</v>
      </c>
      <c r="D1045" s="2" t="s">
        <v>2834</v>
      </c>
      <c r="E1045" s="2" t="s">
        <v>2835</v>
      </c>
      <c r="F1045" s="2" t="s">
        <v>16</v>
      </c>
      <c r="G1045" s="2" t="s">
        <v>2836</v>
      </c>
      <c r="H1045" s="2" t="s">
        <v>18</v>
      </c>
      <c r="I1045" s="2"/>
      <c r="J1045" s="2" t="s">
        <v>19</v>
      </c>
      <c r="K1045" s="2" t="s">
        <v>20</v>
      </c>
      <c r="L1045" s="4" t="s">
        <v>2837</v>
      </c>
    </row>
    <row r="1046" customFormat="false" ht="13.35" hidden="false" customHeight="true" outlineLevel="0" collapsed="false">
      <c r="A1046" s="2" t="str">
        <f aca="false">HYPERLINK("https://www.fabsurplus.com/sdi_catalog/salesItemDetails.do?id=103002")</f>
        <v>https://www.fabsurplus.com/sdi_catalog/salesItemDetails.do?id=103002</v>
      </c>
      <c r="B1046" s="2" t="s">
        <v>2838</v>
      </c>
      <c r="C1046" s="2" t="s">
        <v>2839</v>
      </c>
      <c r="D1046" s="2" t="s">
        <v>2840</v>
      </c>
      <c r="E1046" s="2" t="s">
        <v>2841</v>
      </c>
      <c r="F1046" s="2" t="s">
        <v>16</v>
      </c>
      <c r="G1046" s="2"/>
      <c r="H1046" s="2"/>
      <c r="I1046" s="3" t="n">
        <v>38504</v>
      </c>
      <c r="J1046" s="2" t="s">
        <v>19</v>
      </c>
      <c r="K1046" s="2"/>
      <c r="L1046" s="4" t="s">
        <v>2842</v>
      </c>
    </row>
    <row r="1047" customFormat="false" ht="13.35" hidden="false" customHeight="true" outlineLevel="0" collapsed="false">
      <c r="A1047" s="2" t="str">
        <f aca="false">HYPERLINK("https://www.fabsurplus.com/sdi_catalog/salesItemDetails.do?id=101622")</f>
        <v>https://www.fabsurplus.com/sdi_catalog/salesItemDetails.do?id=101622</v>
      </c>
      <c r="B1047" s="2" t="s">
        <v>2843</v>
      </c>
      <c r="C1047" s="2" t="s">
        <v>2839</v>
      </c>
      <c r="D1047" s="2" t="s">
        <v>2844</v>
      </c>
      <c r="E1047" s="2" t="s">
        <v>2845</v>
      </c>
      <c r="F1047" s="2" t="s">
        <v>16</v>
      </c>
      <c r="G1047" s="2" t="s">
        <v>17</v>
      </c>
      <c r="H1047" s="2" t="s">
        <v>26</v>
      </c>
      <c r="I1047" s="2"/>
      <c r="J1047" s="2" t="s">
        <v>19</v>
      </c>
      <c r="K1047" s="2" t="s">
        <v>20</v>
      </c>
      <c r="L1047" s="4" t="s">
        <v>2846</v>
      </c>
    </row>
    <row r="1048" customFormat="false" ht="13.35" hidden="false" customHeight="true" outlineLevel="0" collapsed="false">
      <c r="A1048" s="5" t="str">
        <f aca="false">HYPERLINK("https://www.fabsurplus.com/sdi_catalog/salesItemDetails.do?id=91392")</f>
        <v>https://www.fabsurplus.com/sdi_catalog/salesItemDetails.do?id=91392</v>
      </c>
      <c r="B1048" s="5" t="s">
        <v>2847</v>
      </c>
      <c r="C1048" s="5" t="s">
        <v>2839</v>
      </c>
      <c r="D1048" s="5" t="s">
        <v>2848</v>
      </c>
      <c r="E1048" s="5" t="s">
        <v>2849</v>
      </c>
      <c r="F1048" s="5" t="s">
        <v>16</v>
      </c>
      <c r="G1048" s="5" t="s">
        <v>2280</v>
      </c>
      <c r="H1048" s="5"/>
      <c r="I1048" s="5"/>
      <c r="J1048" s="5" t="s">
        <v>19</v>
      </c>
      <c r="K1048" s="5"/>
      <c r="L1048" s="5" t="s">
        <v>112</v>
      </c>
    </row>
    <row r="1049" customFormat="false" ht="13.35" hidden="false" customHeight="true" outlineLevel="0" collapsed="false">
      <c r="A1049" s="2" t="str">
        <f aca="false">HYPERLINK("https://www.fabsurplus.com/sdi_catalog/salesItemDetails.do?id=101711")</f>
        <v>https://www.fabsurplus.com/sdi_catalog/salesItemDetails.do?id=101711</v>
      </c>
      <c r="B1049" s="2" t="s">
        <v>2850</v>
      </c>
      <c r="C1049" s="2" t="s">
        <v>2839</v>
      </c>
      <c r="D1049" s="2" t="s">
        <v>2851</v>
      </c>
      <c r="E1049" s="2" t="s">
        <v>2849</v>
      </c>
      <c r="F1049" s="2" t="s">
        <v>16</v>
      </c>
      <c r="G1049" s="2"/>
      <c r="H1049" s="2"/>
      <c r="I1049" s="2"/>
      <c r="J1049" s="2" t="s">
        <v>47</v>
      </c>
      <c r="K1049" s="2"/>
      <c r="L1049" s="2"/>
    </row>
    <row r="1050" customFormat="false" ht="13.35" hidden="false" customHeight="true" outlineLevel="0" collapsed="false">
      <c r="A1050" s="5" t="str">
        <f aca="false">HYPERLINK("https://www.fabsurplus.com/sdi_catalog/salesItemDetails.do?id=99400")</f>
        <v>https://www.fabsurplus.com/sdi_catalog/salesItemDetails.do?id=99400</v>
      </c>
      <c r="B1050" s="5" t="s">
        <v>2852</v>
      </c>
      <c r="C1050" s="5" t="s">
        <v>2839</v>
      </c>
      <c r="D1050" s="5" t="s">
        <v>2853</v>
      </c>
      <c r="E1050" s="5" t="s">
        <v>2854</v>
      </c>
      <c r="F1050" s="5" t="s">
        <v>16</v>
      </c>
      <c r="G1050" s="5" t="s">
        <v>555</v>
      </c>
      <c r="H1050" s="5" t="s">
        <v>26</v>
      </c>
      <c r="I1050" s="5"/>
      <c r="J1050" s="5" t="s">
        <v>19</v>
      </c>
      <c r="K1050" s="5" t="s">
        <v>20</v>
      </c>
      <c r="L1050" s="7" t="s">
        <v>2855</v>
      </c>
    </row>
    <row r="1051" customFormat="false" ht="13.35" hidden="false" customHeight="true" outlineLevel="0" collapsed="false">
      <c r="A1051" s="5" t="str">
        <f aca="false">HYPERLINK("https://www.fabsurplus.com/sdi_catalog/salesItemDetails.do?id=101712")</f>
        <v>https://www.fabsurplus.com/sdi_catalog/salesItemDetails.do?id=101712</v>
      </c>
      <c r="B1051" s="5" t="s">
        <v>2856</v>
      </c>
      <c r="C1051" s="5" t="s">
        <v>2839</v>
      </c>
      <c r="D1051" s="5" t="s">
        <v>2857</v>
      </c>
      <c r="E1051" s="5" t="s">
        <v>2858</v>
      </c>
      <c r="F1051" s="5" t="s">
        <v>16</v>
      </c>
      <c r="G1051" s="5"/>
      <c r="H1051" s="5"/>
      <c r="I1051" s="5"/>
      <c r="J1051" s="5" t="s">
        <v>47</v>
      </c>
      <c r="K1051" s="5"/>
      <c r="L1051" s="5"/>
    </row>
    <row r="1052" customFormat="false" ht="13.35" hidden="false" customHeight="true" outlineLevel="0" collapsed="false">
      <c r="A1052" s="2" t="str">
        <f aca="false">HYPERLINK("https://www.fabsurplus.com/sdi_catalog/salesItemDetails.do?id=100706")</f>
        <v>https://www.fabsurplus.com/sdi_catalog/salesItemDetails.do?id=100706</v>
      </c>
      <c r="B1052" s="2" t="s">
        <v>2859</v>
      </c>
      <c r="C1052" s="2" t="s">
        <v>2860</v>
      </c>
      <c r="D1052" s="2" t="s">
        <v>2861</v>
      </c>
      <c r="E1052" s="2" t="s">
        <v>2862</v>
      </c>
      <c r="F1052" s="2" t="s">
        <v>16</v>
      </c>
      <c r="G1052" s="2" t="s">
        <v>1964</v>
      </c>
      <c r="H1052" s="2" t="s">
        <v>26</v>
      </c>
      <c r="I1052" s="3" t="n">
        <v>39234</v>
      </c>
      <c r="J1052" s="2" t="s">
        <v>19</v>
      </c>
      <c r="K1052" s="2" t="s">
        <v>20</v>
      </c>
      <c r="L1052" s="4" t="s">
        <v>2863</v>
      </c>
    </row>
    <row r="1053" customFormat="false" ht="13.35" hidden="false" customHeight="true" outlineLevel="0" collapsed="false">
      <c r="A1053" s="5" t="str">
        <f aca="false">HYPERLINK("https://www.fabsurplus.com/sdi_catalog/salesItemDetails.do?id=101823")</f>
        <v>https://www.fabsurplus.com/sdi_catalog/salesItemDetails.do?id=101823</v>
      </c>
      <c r="B1053" s="5" t="s">
        <v>2864</v>
      </c>
      <c r="C1053" s="5" t="s">
        <v>2865</v>
      </c>
      <c r="D1053" s="5" t="s">
        <v>2866</v>
      </c>
      <c r="E1053" s="5" t="s">
        <v>2867</v>
      </c>
      <c r="F1053" s="5" t="s">
        <v>16</v>
      </c>
      <c r="G1053" s="5"/>
      <c r="H1053" s="5" t="s">
        <v>96</v>
      </c>
      <c r="I1053" s="6" t="n">
        <v>39234</v>
      </c>
      <c r="J1053" s="5" t="s">
        <v>19</v>
      </c>
      <c r="K1053" s="5" t="s">
        <v>20</v>
      </c>
      <c r="L1053" s="7" t="s">
        <v>2868</v>
      </c>
    </row>
    <row r="1054" customFormat="false" ht="13.35" hidden="false" customHeight="true" outlineLevel="0" collapsed="false">
      <c r="A1054" s="2" t="str">
        <f aca="false">HYPERLINK("https://www.fabsurplus.com/sdi_catalog/salesItemDetails.do?id=101843")</f>
        <v>https://www.fabsurplus.com/sdi_catalog/salesItemDetails.do?id=101843</v>
      </c>
      <c r="B1054" s="2" t="s">
        <v>2869</v>
      </c>
      <c r="C1054" s="2" t="s">
        <v>2870</v>
      </c>
      <c r="D1054" s="2" t="s">
        <v>2871</v>
      </c>
      <c r="E1054" s="2" t="s">
        <v>2872</v>
      </c>
      <c r="F1054" s="2" t="s">
        <v>16</v>
      </c>
      <c r="G1054" s="2"/>
      <c r="H1054" s="2" t="s">
        <v>26</v>
      </c>
      <c r="I1054" s="2"/>
      <c r="J1054" s="2" t="s">
        <v>19</v>
      </c>
      <c r="K1054" s="2" t="s">
        <v>20</v>
      </c>
      <c r="L1054" s="2" t="s">
        <v>1408</v>
      </c>
    </row>
    <row r="1055" customFormat="false" ht="13.35" hidden="false" customHeight="true" outlineLevel="0" collapsed="false">
      <c r="A1055" s="5" t="str">
        <f aca="false">HYPERLINK("https://www.fabsurplus.com/sdi_catalog/salesItemDetails.do?id=97853")</f>
        <v>https://www.fabsurplus.com/sdi_catalog/salesItemDetails.do?id=97853</v>
      </c>
      <c r="B1055" s="5" t="s">
        <v>2873</v>
      </c>
      <c r="C1055" s="5" t="s">
        <v>2874</v>
      </c>
      <c r="D1055" s="5" t="s">
        <v>2875</v>
      </c>
      <c r="E1055" s="5" t="s">
        <v>2876</v>
      </c>
      <c r="F1055" s="5" t="s">
        <v>16</v>
      </c>
      <c r="G1055" s="5"/>
      <c r="H1055" s="5"/>
      <c r="I1055" s="5"/>
      <c r="J1055" s="5" t="s">
        <v>19</v>
      </c>
      <c r="K1055" s="5"/>
      <c r="L1055" s="5"/>
    </row>
    <row r="1056" customFormat="false" ht="13.35" hidden="false" customHeight="true" outlineLevel="0" collapsed="false">
      <c r="A1056" s="2" t="str">
        <f aca="false">HYPERLINK("https://www.fabsurplus.com/sdi_catalog/salesItemDetails.do?id=102207")</f>
        <v>https://www.fabsurplus.com/sdi_catalog/salesItemDetails.do?id=102207</v>
      </c>
      <c r="B1056" s="2" t="s">
        <v>2877</v>
      </c>
      <c r="C1056" s="2" t="s">
        <v>2878</v>
      </c>
      <c r="D1056" s="2" t="s">
        <v>2879</v>
      </c>
      <c r="E1056" s="2" t="s">
        <v>2880</v>
      </c>
      <c r="F1056" s="2" t="s">
        <v>16</v>
      </c>
      <c r="G1056" s="2" t="s">
        <v>17</v>
      </c>
      <c r="H1056" s="2"/>
      <c r="I1056" s="3" t="n">
        <v>37408</v>
      </c>
      <c r="J1056" s="2" t="s">
        <v>19</v>
      </c>
      <c r="K1056" s="2"/>
      <c r="L1056" s="2"/>
    </row>
    <row r="1057" customFormat="false" ht="13.35" hidden="false" customHeight="true" outlineLevel="0" collapsed="false">
      <c r="A1057" s="5" t="str">
        <f aca="false">HYPERLINK("https://www.fabsurplus.com/sdi_catalog/salesItemDetails.do?id=102208")</f>
        <v>https://www.fabsurplus.com/sdi_catalog/salesItemDetails.do?id=102208</v>
      </c>
      <c r="B1057" s="5" t="s">
        <v>2881</v>
      </c>
      <c r="C1057" s="5" t="s">
        <v>2878</v>
      </c>
      <c r="D1057" s="5" t="s">
        <v>2879</v>
      </c>
      <c r="E1057" s="5" t="s">
        <v>2882</v>
      </c>
      <c r="F1057" s="5" t="s">
        <v>16</v>
      </c>
      <c r="G1057" s="5" t="s">
        <v>17</v>
      </c>
      <c r="H1057" s="5"/>
      <c r="I1057" s="6" t="n">
        <v>37773</v>
      </c>
      <c r="J1057" s="5" t="s">
        <v>19</v>
      </c>
      <c r="K1057" s="5"/>
      <c r="L1057" s="5"/>
    </row>
    <row r="1058" customFormat="false" ht="13.35" hidden="false" customHeight="true" outlineLevel="0" collapsed="false">
      <c r="A1058" s="2" t="str">
        <f aca="false">HYPERLINK("https://www.fabsurplus.com/sdi_catalog/salesItemDetails.do?id=102209")</f>
        <v>https://www.fabsurplus.com/sdi_catalog/salesItemDetails.do?id=102209</v>
      </c>
      <c r="B1058" s="2" t="s">
        <v>2883</v>
      </c>
      <c r="C1058" s="2" t="s">
        <v>2878</v>
      </c>
      <c r="D1058" s="2" t="s">
        <v>2884</v>
      </c>
      <c r="E1058" s="2" t="s">
        <v>2884</v>
      </c>
      <c r="F1058" s="2" t="s">
        <v>16</v>
      </c>
      <c r="G1058" s="2" t="s">
        <v>36</v>
      </c>
      <c r="H1058" s="2"/>
      <c r="I1058" s="3" t="n">
        <v>35947</v>
      </c>
      <c r="J1058" s="2" t="s">
        <v>19</v>
      </c>
      <c r="K1058" s="2"/>
      <c r="L1058" s="2"/>
    </row>
    <row r="1059" customFormat="false" ht="13.35" hidden="false" customHeight="true" outlineLevel="0" collapsed="false">
      <c r="A1059" s="5" t="str">
        <f aca="false">HYPERLINK("https://www.fabsurplus.com/sdi_catalog/salesItemDetails.do?id=102210")</f>
        <v>https://www.fabsurplus.com/sdi_catalog/salesItemDetails.do?id=102210</v>
      </c>
      <c r="B1059" s="5" t="s">
        <v>2885</v>
      </c>
      <c r="C1059" s="5" t="s">
        <v>2878</v>
      </c>
      <c r="D1059" s="5" t="s">
        <v>2886</v>
      </c>
      <c r="E1059" s="5" t="s">
        <v>2887</v>
      </c>
      <c r="F1059" s="5" t="s">
        <v>16</v>
      </c>
      <c r="G1059" s="5" t="s">
        <v>17</v>
      </c>
      <c r="H1059" s="5"/>
      <c r="I1059" s="6" t="n">
        <v>38504</v>
      </c>
      <c r="J1059" s="5" t="s">
        <v>19</v>
      </c>
      <c r="K1059" s="5"/>
      <c r="L1059" s="5"/>
    </row>
    <row r="1060" customFormat="false" ht="13.35" hidden="false" customHeight="true" outlineLevel="0" collapsed="false">
      <c r="A1060" s="2" t="str">
        <f aca="false">HYPERLINK("https://www.fabsurplus.com/sdi_catalog/salesItemDetails.do?id=102211")</f>
        <v>https://www.fabsurplus.com/sdi_catalog/salesItemDetails.do?id=102211</v>
      </c>
      <c r="B1060" s="2" t="s">
        <v>2888</v>
      </c>
      <c r="C1060" s="2" t="s">
        <v>2878</v>
      </c>
      <c r="D1060" s="2" t="s">
        <v>2886</v>
      </c>
      <c r="E1060" s="2" t="s">
        <v>2887</v>
      </c>
      <c r="F1060" s="2" t="s">
        <v>16</v>
      </c>
      <c r="G1060" s="2" t="s">
        <v>17</v>
      </c>
      <c r="H1060" s="2"/>
      <c r="I1060" s="3" t="n">
        <v>40695</v>
      </c>
      <c r="J1060" s="2" t="s">
        <v>19</v>
      </c>
      <c r="K1060" s="2"/>
      <c r="L1060" s="2"/>
    </row>
    <row r="1061" customFormat="false" ht="13.35" hidden="false" customHeight="true" outlineLevel="0" collapsed="false">
      <c r="A1061" s="5" t="str">
        <f aca="false">HYPERLINK("https://www.fabsurplus.com/sdi_catalog/salesItemDetails.do?id=102212")</f>
        <v>https://www.fabsurplus.com/sdi_catalog/salesItemDetails.do?id=102212</v>
      </c>
      <c r="B1061" s="5" t="s">
        <v>2889</v>
      </c>
      <c r="C1061" s="5" t="s">
        <v>2878</v>
      </c>
      <c r="D1061" s="5" t="s">
        <v>2886</v>
      </c>
      <c r="E1061" s="5" t="s">
        <v>2887</v>
      </c>
      <c r="F1061" s="5" t="s">
        <v>16</v>
      </c>
      <c r="G1061" s="5" t="s">
        <v>17</v>
      </c>
      <c r="H1061" s="5"/>
      <c r="I1061" s="6" t="n">
        <v>41061</v>
      </c>
      <c r="J1061" s="5" t="s">
        <v>19</v>
      </c>
      <c r="K1061" s="5"/>
      <c r="L1061" s="5"/>
    </row>
    <row r="1062" customFormat="false" ht="13.35" hidden="false" customHeight="true" outlineLevel="0" collapsed="false">
      <c r="A1062" s="2" t="str">
        <f aca="false">HYPERLINK("https://www.fabsurplus.com/sdi_catalog/salesItemDetails.do?id=102213")</f>
        <v>https://www.fabsurplus.com/sdi_catalog/salesItemDetails.do?id=102213</v>
      </c>
      <c r="B1062" s="2" t="s">
        <v>2890</v>
      </c>
      <c r="C1062" s="2" t="s">
        <v>2878</v>
      </c>
      <c r="D1062" s="2" t="s">
        <v>2886</v>
      </c>
      <c r="E1062" s="2" t="s">
        <v>2887</v>
      </c>
      <c r="F1062" s="2" t="s">
        <v>16</v>
      </c>
      <c r="G1062" s="2" t="s">
        <v>17</v>
      </c>
      <c r="H1062" s="2"/>
      <c r="I1062" s="3" t="n">
        <v>41061</v>
      </c>
      <c r="J1062" s="2" t="s">
        <v>19</v>
      </c>
      <c r="K1062" s="2"/>
      <c r="L1062" s="2"/>
    </row>
    <row r="1063" customFormat="false" ht="13.35" hidden="false" customHeight="true" outlineLevel="0" collapsed="false">
      <c r="A1063" s="5" t="str">
        <f aca="false">HYPERLINK("https://www.fabsurplus.com/sdi_catalog/salesItemDetails.do?id=101710")</f>
        <v>https://www.fabsurplus.com/sdi_catalog/salesItemDetails.do?id=101710</v>
      </c>
      <c r="B1063" s="5" t="s">
        <v>2891</v>
      </c>
      <c r="C1063" s="5" t="s">
        <v>2878</v>
      </c>
      <c r="D1063" s="5" t="s">
        <v>2892</v>
      </c>
      <c r="E1063" s="5" t="s">
        <v>2893</v>
      </c>
      <c r="F1063" s="5" t="s">
        <v>16</v>
      </c>
      <c r="G1063" s="5" t="s">
        <v>493</v>
      </c>
      <c r="H1063" s="5" t="s">
        <v>26</v>
      </c>
      <c r="I1063" s="6" t="n">
        <v>39600</v>
      </c>
      <c r="J1063" s="5" t="s">
        <v>47</v>
      </c>
      <c r="K1063" s="5" t="s">
        <v>20</v>
      </c>
      <c r="L1063" s="7" t="s">
        <v>2894</v>
      </c>
    </row>
    <row r="1064" customFormat="false" ht="13.35" hidden="false" customHeight="true" outlineLevel="0" collapsed="false">
      <c r="A1064" s="5" t="str">
        <f aca="false">HYPERLINK("https://www.fabsurplus.com/sdi_catalog/salesItemDetails.do?id=90364")</f>
        <v>https://www.fabsurplus.com/sdi_catalog/salesItemDetails.do?id=90364</v>
      </c>
      <c r="B1064" s="5" t="s">
        <v>2895</v>
      </c>
      <c r="C1064" s="5" t="s">
        <v>2878</v>
      </c>
      <c r="D1064" s="5" t="s">
        <v>2896</v>
      </c>
      <c r="E1064" s="5" t="s">
        <v>2897</v>
      </c>
      <c r="F1064" s="5" t="s">
        <v>16</v>
      </c>
      <c r="G1064" s="5" t="s">
        <v>2898</v>
      </c>
      <c r="H1064" s="5" t="s">
        <v>18</v>
      </c>
      <c r="I1064" s="6" t="n">
        <v>38169</v>
      </c>
      <c r="J1064" s="5" t="s">
        <v>19</v>
      </c>
      <c r="K1064" s="5" t="s">
        <v>20</v>
      </c>
      <c r="L1064" s="7" t="s">
        <v>2899</v>
      </c>
    </row>
    <row r="1065" customFormat="false" ht="13.35" hidden="false" customHeight="true" outlineLevel="0" collapsed="false">
      <c r="A1065" s="2" t="str">
        <f aca="false">HYPERLINK("https://www.fabsurplus.com/sdi_catalog/salesItemDetails.do?id=102621")</f>
        <v>https://www.fabsurplus.com/sdi_catalog/salesItemDetails.do?id=102621</v>
      </c>
      <c r="B1065" s="2" t="s">
        <v>2900</v>
      </c>
      <c r="C1065" s="2" t="s">
        <v>2878</v>
      </c>
      <c r="D1065" s="2" t="s">
        <v>2901</v>
      </c>
      <c r="E1065" s="2" t="s">
        <v>2902</v>
      </c>
      <c r="F1065" s="2" t="s">
        <v>2903</v>
      </c>
      <c r="G1065" s="2"/>
      <c r="H1065" s="2" t="s">
        <v>26</v>
      </c>
      <c r="I1065" s="2"/>
      <c r="J1065" s="2" t="s">
        <v>47</v>
      </c>
      <c r="K1065" s="2" t="s">
        <v>20</v>
      </c>
      <c r="L1065" s="4" t="s">
        <v>2904</v>
      </c>
    </row>
    <row r="1066" customFormat="false" ht="13.35" hidden="false" customHeight="true" outlineLevel="0" collapsed="false">
      <c r="A1066" s="2" t="str">
        <f aca="false">HYPERLINK("https://www.fabsurplus.com/sdi_catalog/salesItemDetails.do?id=75296")</f>
        <v>https://www.fabsurplus.com/sdi_catalog/salesItemDetails.do?id=75296</v>
      </c>
      <c r="B1066" s="2" t="s">
        <v>2905</v>
      </c>
      <c r="C1066" s="2" t="s">
        <v>2906</v>
      </c>
      <c r="D1066" s="2" t="s">
        <v>2907</v>
      </c>
      <c r="E1066" s="2" t="s">
        <v>2908</v>
      </c>
      <c r="F1066" s="2" t="s">
        <v>16</v>
      </c>
      <c r="G1066" s="2" t="s">
        <v>36</v>
      </c>
      <c r="H1066" s="2" t="s">
        <v>96</v>
      </c>
      <c r="I1066" s="2"/>
      <c r="J1066" s="2" t="s">
        <v>47</v>
      </c>
      <c r="K1066" s="2" t="s">
        <v>809</v>
      </c>
      <c r="L1066" s="4" t="s">
        <v>2909</v>
      </c>
    </row>
    <row r="1067" customFormat="false" ht="13.35" hidden="false" customHeight="true" outlineLevel="0" collapsed="false">
      <c r="A1067" s="2" t="str">
        <f aca="false">HYPERLINK("https://www.fabsurplus.com/sdi_catalog/salesItemDetails.do?id=90156")</f>
        <v>https://www.fabsurplus.com/sdi_catalog/salesItemDetails.do?id=90156</v>
      </c>
      <c r="B1067" s="2" t="s">
        <v>2910</v>
      </c>
      <c r="C1067" s="2" t="s">
        <v>2911</v>
      </c>
      <c r="D1067" s="2" t="s">
        <v>2912</v>
      </c>
      <c r="E1067" s="2" t="s">
        <v>2913</v>
      </c>
      <c r="F1067" s="2" t="s">
        <v>16</v>
      </c>
      <c r="G1067" s="2"/>
      <c r="H1067" s="2"/>
      <c r="I1067" s="3" t="n">
        <v>38139</v>
      </c>
      <c r="J1067" s="2" t="s">
        <v>19</v>
      </c>
      <c r="K1067" s="2"/>
      <c r="L1067" s="2" t="s">
        <v>2498</v>
      </c>
    </row>
    <row r="1068" customFormat="false" ht="13.35" hidden="false" customHeight="true" outlineLevel="0" collapsed="false">
      <c r="A1068" s="5" t="str">
        <f aca="false">HYPERLINK("https://www.fabsurplus.com/sdi_catalog/salesItemDetails.do?id=102957")</f>
        <v>https://www.fabsurplus.com/sdi_catalog/salesItemDetails.do?id=102957</v>
      </c>
      <c r="B1068" s="5" t="s">
        <v>2914</v>
      </c>
      <c r="C1068" s="5" t="s">
        <v>2911</v>
      </c>
      <c r="D1068" s="5" t="s">
        <v>2915</v>
      </c>
      <c r="E1068" s="5" t="s">
        <v>2916</v>
      </c>
      <c r="F1068" s="5" t="s">
        <v>16</v>
      </c>
      <c r="G1068" s="5" t="s">
        <v>499</v>
      </c>
      <c r="H1068" s="5"/>
      <c r="I1068" s="6" t="n">
        <v>39234</v>
      </c>
      <c r="J1068" s="5" t="s">
        <v>19</v>
      </c>
      <c r="K1068" s="5"/>
      <c r="L1068" s="5"/>
    </row>
    <row r="1069" customFormat="false" ht="13.35" hidden="false" customHeight="true" outlineLevel="0" collapsed="false">
      <c r="A1069" s="5" t="str">
        <f aca="false">HYPERLINK("https://www.fabsurplus.com/sdi_catalog/salesItemDetails.do?id=90155")</f>
        <v>https://www.fabsurplus.com/sdi_catalog/salesItemDetails.do?id=90155</v>
      </c>
      <c r="B1069" s="5" t="s">
        <v>2917</v>
      </c>
      <c r="C1069" s="5" t="s">
        <v>2911</v>
      </c>
      <c r="D1069" s="5" t="s">
        <v>2918</v>
      </c>
      <c r="E1069" s="5" t="s">
        <v>2913</v>
      </c>
      <c r="F1069" s="5" t="s">
        <v>16</v>
      </c>
      <c r="G1069" s="5"/>
      <c r="H1069" s="5"/>
      <c r="I1069" s="6" t="n">
        <v>39114</v>
      </c>
      <c r="J1069" s="5" t="s">
        <v>19</v>
      </c>
      <c r="K1069" s="5"/>
      <c r="L1069" s="5" t="s">
        <v>2498</v>
      </c>
    </row>
    <row r="1070" customFormat="false" ht="13.35" hidden="false" customHeight="true" outlineLevel="0" collapsed="false">
      <c r="A1070" s="5" t="str">
        <f aca="false">HYPERLINK("https://www.fabsurplus.com/sdi_catalog/salesItemDetails.do?id=101829")</f>
        <v>https://www.fabsurplus.com/sdi_catalog/salesItemDetails.do?id=101829</v>
      </c>
      <c r="B1070" s="5" t="s">
        <v>2919</v>
      </c>
      <c r="C1070" s="5" t="s">
        <v>2920</v>
      </c>
      <c r="D1070" s="5" t="s">
        <v>2921</v>
      </c>
      <c r="E1070" s="5" t="s">
        <v>2922</v>
      </c>
      <c r="F1070" s="5" t="s">
        <v>16</v>
      </c>
      <c r="G1070" s="5" t="s">
        <v>1498</v>
      </c>
      <c r="H1070" s="5" t="s">
        <v>26</v>
      </c>
      <c r="I1070" s="6" t="n">
        <v>39722</v>
      </c>
      <c r="J1070" s="5" t="s">
        <v>19</v>
      </c>
      <c r="K1070" s="5" t="s">
        <v>20</v>
      </c>
      <c r="L1070" s="5"/>
    </row>
    <row r="1071" customFormat="false" ht="13.35" hidden="false" customHeight="true" outlineLevel="0" collapsed="false">
      <c r="A1071" s="2" t="str">
        <f aca="false">HYPERLINK("https://www.fabsurplus.com/sdi_catalog/salesItemDetails.do?id=101828")</f>
        <v>https://www.fabsurplus.com/sdi_catalog/salesItemDetails.do?id=101828</v>
      </c>
      <c r="B1071" s="2" t="s">
        <v>2923</v>
      </c>
      <c r="C1071" s="2" t="s">
        <v>2920</v>
      </c>
      <c r="D1071" s="2" t="s">
        <v>2921</v>
      </c>
      <c r="E1071" s="2" t="s">
        <v>2924</v>
      </c>
      <c r="F1071" s="2" t="s">
        <v>16</v>
      </c>
      <c r="G1071" s="2" t="s">
        <v>1498</v>
      </c>
      <c r="H1071" s="2" t="s">
        <v>26</v>
      </c>
      <c r="I1071" s="3" t="n">
        <v>39326</v>
      </c>
      <c r="J1071" s="2" t="s">
        <v>19</v>
      </c>
      <c r="K1071" s="2" t="s">
        <v>20</v>
      </c>
      <c r="L1071" s="2"/>
    </row>
    <row r="1072" customFormat="false" ht="13.35" hidden="false" customHeight="true" outlineLevel="0" collapsed="false">
      <c r="A1072" s="2" t="str">
        <f aca="false">HYPERLINK("https://www.fabsurplus.com/sdi_catalog/salesItemDetails.do?id=92022")</f>
        <v>https://www.fabsurplus.com/sdi_catalog/salesItemDetails.do?id=92022</v>
      </c>
      <c r="B1072" s="2" t="s">
        <v>2925</v>
      </c>
      <c r="C1072" s="2" t="s">
        <v>2926</v>
      </c>
      <c r="D1072" s="2" t="s">
        <v>2927</v>
      </c>
      <c r="E1072" s="2" t="s">
        <v>2928</v>
      </c>
      <c r="F1072" s="2" t="s">
        <v>16</v>
      </c>
      <c r="G1072" s="2" t="s">
        <v>493</v>
      </c>
      <c r="H1072" s="2" t="s">
        <v>592</v>
      </c>
      <c r="I1072" s="3" t="n">
        <v>-1</v>
      </c>
      <c r="J1072" s="2" t="s">
        <v>19</v>
      </c>
      <c r="K1072" s="2" t="s">
        <v>20</v>
      </c>
      <c r="L1072" s="4" t="s">
        <v>2929</v>
      </c>
    </row>
    <row r="1073" customFormat="false" ht="13.35" hidden="false" customHeight="true" outlineLevel="0" collapsed="false">
      <c r="A1073" s="5" t="str">
        <f aca="false">HYPERLINK("https://www.fabsurplus.com/sdi_catalog/salesItemDetails.do?id=102215")</f>
        <v>https://www.fabsurplus.com/sdi_catalog/salesItemDetails.do?id=102215</v>
      </c>
      <c r="B1073" s="5" t="s">
        <v>2930</v>
      </c>
      <c r="C1073" s="5" t="s">
        <v>2926</v>
      </c>
      <c r="D1073" s="5" t="s">
        <v>2931</v>
      </c>
      <c r="E1073" s="5" t="s">
        <v>2932</v>
      </c>
      <c r="F1073" s="5" t="s">
        <v>16</v>
      </c>
      <c r="G1073" s="5" t="s">
        <v>493</v>
      </c>
      <c r="H1073" s="5"/>
      <c r="I1073" s="5"/>
      <c r="J1073" s="5" t="s">
        <v>19</v>
      </c>
      <c r="K1073" s="5"/>
      <c r="L1073" s="5"/>
    </row>
    <row r="1074" customFormat="false" ht="13.35" hidden="false" customHeight="true" outlineLevel="0" collapsed="false">
      <c r="A1074" s="2" t="str">
        <f aca="false">HYPERLINK("https://www.fabsurplus.com/sdi_catalog/salesItemDetails.do?id=102216")</f>
        <v>https://www.fabsurplus.com/sdi_catalog/salesItemDetails.do?id=102216</v>
      </c>
      <c r="B1074" s="2" t="s">
        <v>2933</v>
      </c>
      <c r="C1074" s="2" t="s">
        <v>2926</v>
      </c>
      <c r="D1074" s="2" t="s">
        <v>2931</v>
      </c>
      <c r="E1074" s="2" t="s">
        <v>2932</v>
      </c>
      <c r="F1074" s="2" t="s">
        <v>16</v>
      </c>
      <c r="G1074" s="2" t="s">
        <v>1686</v>
      </c>
      <c r="H1074" s="2"/>
      <c r="I1074" s="2"/>
      <c r="J1074" s="2" t="s">
        <v>19</v>
      </c>
      <c r="K1074" s="2"/>
      <c r="L1074" s="2"/>
    </row>
    <row r="1075" customFormat="false" ht="13.35" hidden="false" customHeight="true" outlineLevel="0" collapsed="false">
      <c r="A1075" s="5" t="str">
        <f aca="false">HYPERLINK("https://www.fabsurplus.com/sdi_catalog/salesItemDetails.do?id=102217")</f>
        <v>https://www.fabsurplus.com/sdi_catalog/salesItemDetails.do?id=102217</v>
      </c>
      <c r="B1075" s="5" t="s">
        <v>2934</v>
      </c>
      <c r="C1075" s="5" t="s">
        <v>2926</v>
      </c>
      <c r="D1075" s="5" t="s">
        <v>2931</v>
      </c>
      <c r="E1075" s="5" t="s">
        <v>2932</v>
      </c>
      <c r="F1075" s="5" t="s">
        <v>16</v>
      </c>
      <c r="G1075" s="5" t="s">
        <v>493</v>
      </c>
      <c r="H1075" s="5"/>
      <c r="I1075" s="5"/>
      <c r="J1075" s="5" t="s">
        <v>19</v>
      </c>
      <c r="K1075" s="5"/>
      <c r="L1075" s="5"/>
    </row>
    <row r="1076" customFormat="false" ht="13.35" hidden="false" customHeight="true" outlineLevel="0" collapsed="false">
      <c r="A1076" s="2" t="str">
        <f aca="false">HYPERLINK("https://www.fabsurplus.com/sdi_catalog/salesItemDetails.do?id=96543")</f>
        <v>https://www.fabsurplus.com/sdi_catalog/salesItemDetails.do?id=96543</v>
      </c>
      <c r="B1076" s="2" t="s">
        <v>2935</v>
      </c>
      <c r="C1076" s="2" t="s">
        <v>2936</v>
      </c>
      <c r="D1076" s="2" t="s">
        <v>2937</v>
      </c>
      <c r="E1076" s="2" t="s">
        <v>2938</v>
      </c>
      <c r="F1076" s="2" t="s">
        <v>16</v>
      </c>
      <c r="G1076" s="2" t="s">
        <v>107</v>
      </c>
      <c r="H1076" s="2" t="s">
        <v>26</v>
      </c>
      <c r="I1076" s="3" t="n">
        <v>34759</v>
      </c>
      <c r="J1076" s="2" t="s">
        <v>19</v>
      </c>
      <c r="K1076" s="2" t="s">
        <v>20</v>
      </c>
      <c r="L1076" s="4" t="s">
        <v>2939</v>
      </c>
    </row>
    <row r="1077" customFormat="false" ht="13.35" hidden="false" customHeight="true" outlineLevel="0" collapsed="false">
      <c r="A1077" s="5" t="str">
        <f aca="false">HYPERLINK("https://www.fabsurplus.com/sdi_catalog/salesItemDetails.do?id=88030")</f>
        <v>https://www.fabsurplus.com/sdi_catalog/salesItemDetails.do?id=88030</v>
      </c>
      <c r="B1077" s="5" t="s">
        <v>2940</v>
      </c>
      <c r="C1077" s="5" t="s">
        <v>2941</v>
      </c>
      <c r="D1077" s="5" t="s">
        <v>2942</v>
      </c>
      <c r="E1077" s="5" t="s">
        <v>87</v>
      </c>
      <c r="F1077" s="5" t="s">
        <v>16</v>
      </c>
      <c r="G1077" s="5" t="s">
        <v>88</v>
      </c>
      <c r="H1077" s="5"/>
      <c r="I1077" s="5"/>
      <c r="J1077" s="5" t="s">
        <v>19</v>
      </c>
      <c r="K1077" s="5"/>
      <c r="L1077" s="5" t="s">
        <v>89</v>
      </c>
    </row>
    <row r="1078" customFormat="false" ht="13.35" hidden="false" customHeight="true" outlineLevel="0" collapsed="false">
      <c r="A1078" s="2" t="str">
        <f aca="false">HYPERLINK("https://www.fabsurplus.com/sdi_catalog/salesItemDetails.do?id=88031")</f>
        <v>https://www.fabsurplus.com/sdi_catalog/salesItemDetails.do?id=88031</v>
      </c>
      <c r="B1078" s="2" t="s">
        <v>2943</v>
      </c>
      <c r="C1078" s="2" t="s">
        <v>2941</v>
      </c>
      <c r="D1078" s="2" t="s">
        <v>2944</v>
      </c>
      <c r="E1078" s="2" t="s">
        <v>87</v>
      </c>
      <c r="F1078" s="2" t="s">
        <v>16</v>
      </c>
      <c r="G1078" s="2" t="s">
        <v>88</v>
      </c>
      <c r="H1078" s="2"/>
      <c r="I1078" s="2"/>
      <c r="J1078" s="2" t="s">
        <v>19</v>
      </c>
      <c r="K1078" s="2"/>
      <c r="L1078" s="2" t="s">
        <v>89</v>
      </c>
    </row>
    <row r="1079" customFormat="false" ht="13.35" hidden="false" customHeight="true" outlineLevel="0" collapsed="false">
      <c r="A1079" s="5" t="str">
        <f aca="false">HYPERLINK("https://www.fabsurplus.com/sdi_catalog/salesItemDetails.do?id=99414")</f>
        <v>https://www.fabsurplus.com/sdi_catalog/salesItemDetails.do?id=99414</v>
      </c>
      <c r="B1079" s="5" t="s">
        <v>2945</v>
      </c>
      <c r="C1079" s="5" t="s">
        <v>2946</v>
      </c>
      <c r="D1079" s="5" t="s">
        <v>2947</v>
      </c>
      <c r="E1079" s="5" t="s">
        <v>2948</v>
      </c>
      <c r="F1079" s="5" t="s">
        <v>16</v>
      </c>
      <c r="G1079" s="5"/>
      <c r="H1079" s="5"/>
      <c r="I1079" s="5"/>
      <c r="J1079" s="5" t="s">
        <v>19</v>
      </c>
      <c r="K1079" s="5"/>
      <c r="L1079" s="7" t="s">
        <v>2949</v>
      </c>
    </row>
    <row r="1080" customFormat="false" ht="13.35" hidden="false" customHeight="true" outlineLevel="0" collapsed="false">
      <c r="A1080" s="2" t="str">
        <f aca="false">HYPERLINK("https://www.fabsurplus.com/sdi_catalog/salesItemDetails.do?id=102218")</f>
        <v>https://www.fabsurplus.com/sdi_catalog/salesItemDetails.do?id=102218</v>
      </c>
      <c r="B1080" s="2" t="s">
        <v>2950</v>
      </c>
      <c r="C1080" s="2" t="s">
        <v>2951</v>
      </c>
      <c r="D1080" s="2" t="s">
        <v>2952</v>
      </c>
      <c r="E1080" s="2" t="s">
        <v>2953</v>
      </c>
      <c r="F1080" s="2" t="s">
        <v>16</v>
      </c>
      <c r="G1080" s="2" t="s">
        <v>17</v>
      </c>
      <c r="H1080" s="2"/>
      <c r="I1080" s="2"/>
      <c r="J1080" s="2" t="s">
        <v>19</v>
      </c>
      <c r="K1080" s="2"/>
      <c r="L1080" s="2"/>
    </row>
    <row r="1081" customFormat="false" ht="13.35" hidden="false" customHeight="true" outlineLevel="0" collapsed="false">
      <c r="A1081" s="2" t="str">
        <f aca="false">HYPERLINK("https://www.fabsurplus.com/sdi_catalog/salesItemDetails.do?id=101042")</f>
        <v>https://www.fabsurplus.com/sdi_catalog/salesItemDetails.do?id=101042</v>
      </c>
      <c r="B1081" s="2" t="s">
        <v>2954</v>
      </c>
      <c r="C1081" s="2" t="s">
        <v>2955</v>
      </c>
      <c r="D1081" s="2" t="s">
        <v>2956</v>
      </c>
      <c r="E1081" s="2" t="s">
        <v>2957</v>
      </c>
      <c r="F1081" s="2" t="s">
        <v>16</v>
      </c>
      <c r="G1081" s="2" t="s">
        <v>88</v>
      </c>
      <c r="H1081" s="2"/>
      <c r="I1081" s="2"/>
      <c r="J1081" s="2"/>
      <c r="K1081" s="2"/>
      <c r="L1081" s="2" t="s">
        <v>2958</v>
      </c>
    </row>
    <row r="1082" customFormat="false" ht="13.35" hidden="false" customHeight="true" outlineLevel="0" collapsed="false">
      <c r="A1082" s="5" t="str">
        <f aca="false">HYPERLINK("https://www.fabsurplus.com/sdi_catalog/salesItemDetails.do?id=101043")</f>
        <v>https://www.fabsurplus.com/sdi_catalog/salesItemDetails.do?id=101043</v>
      </c>
      <c r="B1082" s="5" t="s">
        <v>2959</v>
      </c>
      <c r="C1082" s="5" t="s">
        <v>2955</v>
      </c>
      <c r="D1082" s="5" t="s">
        <v>2960</v>
      </c>
      <c r="E1082" s="5" t="s">
        <v>2957</v>
      </c>
      <c r="F1082" s="5" t="s">
        <v>16</v>
      </c>
      <c r="G1082" s="5" t="s">
        <v>88</v>
      </c>
      <c r="H1082" s="5"/>
      <c r="I1082" s="6" t="n">
        <v>43252</v>
      </c>
      <c r="J1082" s="5"/>
      <c r="K1082" s="5"/>
      <c r="L1082" s="7" t="s">
        <v>2961</v>
      </c>
    </row>
    <row r="1083" customFormat="false" ht="13.35" hidden="false" customHeight="true" outlineLevel="0" collapsed="false">
      <c r="A1083" s="2" t="str">
        <f aca="false">HYPERLINK("https://www.fabsurplus.com/sdi_catalog/salesItemDetails.do?id=98463")</f>
        <v>https://www.fabsurplus.com/sdi_catalog/salesItemDetails.do?id=98463</v>
      </c>
      <c r="B1083" s="2" t="s">
        <v>2962</v>
      </c>
      <c r="C1083" s="2" t="s">
        <v>2955</v>
      </c>
      <c r="D1083" s="2" t="s">
        <v>2963</v>
      </c>
      <c r="E1083" s="2" t="s">
        <v>2964</v>
      </c>
      <c r="F1083" s="2" t="s">
        <v>16</v>
      </c>
      <c r="G1083" s="2" t="s">
        <v>862</v>
      </c>
      <c r="H1083" s="2"/>
      <c r="I1083" s="2"/>
      <c r="J1083" s="2" t="s">
        <v>19</v>
      </c>
      <c r="K1083" s="2"/>
      <c r="L1083" s="2" t="s">
        <v>1417</v>
      </c>
    </row>
    <row r="1084" customFormat="false" ht="13.35" hidden="false" customHeight="true" outlineLevel="0" collapsed="false">
      <c r="A1084" s="5" t="str">
        <f aca="false">HYPERLINK("https://www.fabsurplus.com/sdi_catalog/salesItemDetails.do?id=98464")</f>
        <v>https://www.fabsurplus.com/sdi_catalog/salesItemDetails.do?id=98464</v>
      </c>
      <c r="B1084" s="5" t="s">
        <v>2965</v>
      </c>
      <c r="C1084" s="5" t="s">
        <v>2955</v>
      </c>
      <c r="D1084" s="5" t="s">
        <v>2966</v>
      </c>
      <c r="E1084" s="5" t="s">
        <v>2967</v>
      </c>
      <c r="F1084" s="5" t="s">
        <v>16</v>
      </c>
      <c r="G1084" s="5" t="s">
        <v>862</v>
      </c>
      <c r="H1084" s="5" t="s">
        <v>26</v>
      </c>
      <c r="I1084" s="5"/>
      <c r="J1084" s="5" t="s">
        <v>19</v>
      </c>
      <c r="K1084" s="5" t="s">
        <v>20</v>
      </c>
      <c r="L1084" s="7" t="s">
        <v>2968</v>
      </c>
    </row>
    <row r="1085" customFormat="false" ht="13.35" hidden="false" customHeight="true" outlineLevel="0" collapsed="false">
      <c r="A1085" s="2" t="str">
        <f aca="false">HYPERLINK("https://www.fabsurplus.com/sdi_catalog/salesItemDetails.do?id=101044")</f>
        <v>https://www.fabsurplus.com/sdi_catalog/salesItemDetails.do?id=101044</v>
      </c>
      <c r="B1085" s="2" t="s">
        <v>2969</v>
      </c>
      <c r="C1085" s="2" t="s">
        <v>2955</v>
      </c>
      <c r="D1085" s="2" t="s">
        <v>2970</v>
      </c>
      <c r="E1085" s="2" t="s">
        <v>2957</v>
      </c>
      <c r="F1085" s="2" t="s">
        <v>16</v>
      </c>
      <c r="G1085" s="2" t="s">
        <v>88</v>
      </c>
      <c r="H1085" s="2"/>
      <c r="I1085" s="3" t="n">
        <v>40695</v>
      </c>
      <c r="J1085" s="2"/>
      <c r="K1085" s="2"/>
      <c r="L1085" s="4" t="s">
        <v>2971</v>
      </c>
    </row>
    <row r="1086" customFormat="false" ht="13.35" hidden="false" customHeight="true" outlineLevel="0" collapsed="false">
      <c r="A1086" s="5" t="str">
        <f aca="false">HYPERLINK("https://www.fabsurplus.com/sdi_catalog/salesItemDetails.do?id=101045")</f>
        <v>https://www.fabsurplus.com/sdi_catalog/salesItemDetails.do?id=101045</v>
      </c>
      <c r="B1086" s="5" t="s">
        <v>2972</v>
      </c>
      <c r="C1086" s="5" t="s">
        <v>2955</v>
      </c>
      <c r="D1086" s="5" t="s">
        <v>2973</v>
      </c>
      <c r="E1086" s="5" t="s">
        <v>2974</v>
      </c>
      <c r="F1086" s="5" t="s">
        <v>16</v>
      </c>
      <c r="G1086" s="5" t="s">
        <v>88</v>
      </c>
      <c r="H1086" s="5"/>
      <c r="I1086" s="6" t="n">
        <v>41426</v>
      </c>
      <c r="J1086" s="5"/>
      <c r="K1086" s="5"/>
      <c r="L1086" s="7" t="s">
        <v>2975</v>
      </c>
    </row>
    <row r="1087" customFormat="false" ht="13.35" hidden="false" customHeight="true" outlineLevel="0" collapsed="false">
      <c r="A1087" s="2" t="str">
        <f aca="false">HYPERLINK("https://www.fabsurplus.com/sdi_catalog/salesItemDetails.do?id=92433")</f>
        <v>https://www.fabsurplus.com/sdi_catalog/salesItemDetails.do?id=92433</v>
      </c>
      <c r="B1087" s="2" t="s">
        <v>2976</v>
      </c>
      <c r="C1087" s="2" t="s">
        <v>2977</v>
      </c>
      <c r="D1087" s="2" t="s">
        <v>2978</v>
      </c>
      <c r="E1087" s="2" t="s">
        <v>2752</v>
      </c>
      <c r="F1087" s="2" t="s">
        <v>16</v>
      </c>
      <c r="G1087" s="2"/>
      <c r="H1087" s="2"/>
      <c r="I1087" s="2"/>
      <c r="J1087" s="2" t="s">
        <v>47</v>
      </c>
      <c r="K1087" s="2"/>
      <c r="L1087" s="2" t="s">
        <v>48</v>
      </c>
    </row>
    <row r="1088" customFormat="false" ht="13.35" hidden="false" customHeight="true" outlineLevel="0" collapsed="false">
      <c r="A1088" s="2" t="str">
        <f aca="false">HYPERLINK("https://www.fabsurplus.com/sdi_catalog/salesItemDetails.do?id=89037")</f>
        <v>https://www.fabsurplus.com/sdi_catalog/salesItemDetails.do?id=89037</v>
      </c>
      <c r="B1088" s="2" t="s">
        <v>2979</v>
      </c>
      <c r="C1088" s="2" t="s">
        <v>2977</v>
      </c>
      <c r="D1088" s="2" t="s">
        <v>2978</v>
      </c>
      <c r="E1088" s="2" t="s">
        <v>2980</v>
      </c>
      <c r="F1088" s="2" t="s">
        <v>16</v>
      </c>
      <c r="G1088" s="2" t="s">
        <v>663</v>
      </c>
      <c r="H1088" s="2" t="s">
        <v>18</v>
      </c>
      <c r="I1088" s="3" t="n">
        <v>38322</v>
      </c>
      <c r="J1088" s="2" t="s">
        <v>19</v>
      </c>
      <c r="K1088" s="2" t="s">
        <v>20</v>
      </c>
      <c r="L1088" s="4" t="s">
        <v>2981</v>
      </c>
    </row>
    <row r="1089" customFormat="false" ht="13.35" hidden="false" customHeight="true" outlineLevel="0" collapsed="false">
      <c r="A1089" s="2" t="str">
        <f aca="false">HYPERLINK("https://www.fabsurplus.com/sdi_catalog/salesItemDetails.do?id=75404")</f>
        <v>https://www.fabsurplus.com/sdi_catalog/salesItemDetails.do?id=75404</v>
      </c>
      <c r="B1089" s="2" t="s">
        <v>2982</v>
      </c>
      <c r="C1089" s="2" t="s">
        <v>2983</v>
      </c>
      <c r="D1089" s="2" t="s">
        <v>2984</v>
      </c>
      <c r="E1089" s="2" t="s">
        <v>2766</v>
      </c>
      <c r="F1089" s="2" t="s">
        <v>16</v>
      </c>
      <c r="G1089" s="2" t="s">
        <v>17</v>
      </c>
      <c r="H1089" s="2" t="s">
        <v>26</v>
      </c>
      <c r="I1089" s="3" t="n">
        <v>38139</v>
      </c>
      <c r="J1089" s="2" t="s">
        <v>19</v>
      </c>
      <c r="K1089" s="2" t="s">
        <v>20</v>
      </c>
      <c r="L1089" s="4" t="s">
        <v>2985</v>
      </c>
    </row>
    <row r="1090" customFormat="false" ht="13.35" hidden="false" customHeight="true" outlineLevel="0" collapsed="false">
      <c r="A1090" s="5" t="str">
        <f aca="false">HYPERLINK("https://www.fabsurplus.com/sdi_catalog/salesItemDetails.do?id=101682")</f>
        <v>https://www.fabsurplus.com/sdi_catalog/salesItemDetails.do?id=101682</v>
      </c>
      <c r="B1090" s="5" t="s">
        <v>2986</v>
      </c>
      <c r="C1090" s="5" t="s">
        <v>2987</v>
      </c>
      <c r="D1090" s="5" t="s">
        <v>2988</v>
      </c>
      <c r="E1090" s="5" t="s">
        <v>2989</v>
      </c>
      <c r="F1090" s="5" t="s">
        <v>16</v>
      </c>
      <c r="G1090" s="5"/>
      <c r="H1090" s="5"/>
      <c r="I1090" s="5"/>
      <c r="J1090" s="5" t="s">
        <v>47</v>
      </c>
      <c r="K1090" s="5"/>
      <c r="L1090" s="5" t="s">
        <v>474</v>
      </c>
    </row>
    <row r="1091" customFormat="false" ht="13.35" hidden="false" customHeight="true" outlineLevel="0" collapsed="false">
      <c r="A1091" s="5" t="str">
        <f aca="false">HYPERLINK("https://www.fabsurplus.com/sdi_catalog/salesItemDetails.do?id=101339")</f>
        <v>https://www.fabsurplus.com/sdi_catalog/salesItemDetails.do?id=101339</v>
      </c>
      <c r="B1091" s="5" t="s">
        <v>2990</v>
      </c>
      <c r="C1091" s="5" t="s">
        <v>2987</v>
      </c>
      <c r="D1091" s="5" t="s">
        <v>2991</v>
      </c>
      <c r="E1091" s="5" t="s">
        <v>2989</v>
      </c>
      <c r="F1091" s="5" t="s">
        <v>16</v>
      </c>
      <c r="G1091" s="5" t="s">
        <v>2640</v>
      </c>
      <c r="H1091" s="5"/>
      <c r="I1091" s="5"/>
      <c r="J1091" s="5" t="s">
        <v>19</v>
      </c>
      <c r="K1091" s="5"/>
      <c r="L1091" s="5"/>
    </row>
    <row r="1092" customFormat="false" ht="13.35" hidden="false" customHeight="true" outlineLevel="0" collapsed="false">
      <c r="A1092" s="2" t="str">
        <f aca="false">HYPERLINK("https://www.fabsurplus.com/sdi_catalog/salesItemDetails.do?id=101340")</f>
        <v>https://www.fabsurplus.com/sdi_catalog/salesItemDetails.do?id=101340</v>
      </c>
      <c r="B1092" s="2" t="s">
        <v>2992</v>
      </c>
      <c r="C1092" s="2" t="s">
        <v>2987</v>
      </c>
      <c r="D1092" s="2" t="s">
        <v>2993</v>
      </c>
      <c r="E1092" s="2" t="s">
        <v>2989</v>
      </c>
      <c r="F1092" s="2" t="s">
        <v>16</v>
      </c>
      <c r="G1092" s="2" t="s">
        <v>2640</v>
      </c>
      <c r="H1092" s="2"/>
      <c r="I1092" s="2"/>
      <c r="J1092" s="2" t="s">
        <v>19</v>
      </c>
      <c r="K1092" s="2"/>
      <c r="L1092" s="2"/>
    </row>
    <row r="1093" customFormat="false" ht="13.35" hidden="false" customHeight="true" outlineLevel="0" collapsed="false">
      <c r="A1093" s="5" t="str">
        <f aca="false">HYPERLINK("https://www.fabsurplus.com/sdi_catalog/salesItemDetails.do?id=97854")</f>
        <v>https://www.fabsurplus.com/sdi_catalog/salesItemDetails.do?id=97854</v>
      </c>
      <c r="B1093" s="5" t="s">
        <v>2994</v>
      </c>
      <c r="C1093" s="5" t="s">
        <v>2995</v>
      </c>
      <c r="D1093" s="5" t="s">
        <v>2996</v>
      </c>
      <c r="E1093" s="5" t="s">
        <v>2997</v>
      </c>
      <c r="F1093" s="5" t="s">
        <v>16</v>
      </c>
      <c r="G1093" s="5"/>
      <c r="H1093" s="5"/>
      <c r="I1093" s="5"/>
      <c r="J1093" s="5" t="s">
        <v>19</v>
      </c>
      <c r="K1093" s="5"/>
      <c r="L1093" s="5"/>
    </row>
    <row r="1094" customFormat="false" ht="13.35" hidden="false" customHeight="true" outlineLevel="0" collapsed="false">
      <c r="A1094" s="2" t="str">
        <f aca="false">HYPERLINK("https://www.fabsurplus.com/sdi_catalog/salesItemDetails.do?id=97855")</f>
        <v>https://www.fabsurplus.com/sdi_catalog/salesItemDetails.do?id=97855</v>
      </c>
      <c r="B1094" s="2" t="s">
        <v>2998</v>
      </c>
      <c r="C1094" s="2" t="s">
        <v>2995</v>
      </c>
      <c r="D1094" s="2" t="s">
        <v>2996</v>
      </c>
      <c r="E1094" s="2" t="s">
        <v>421</v>
      </c>
      <c r="F1094" s="2" t="s">
        <v>16</v>
      </c>
      <c r="G1094" s="2"/>
      <c r="H1094" s="2"/>
      <c r="I1094" s="2"/>
      <c r="J1094" s="2" t="s">
        <v>19</v>
      </c>
      <c r="K1094" s="2"/>
      <c r="L1094" s="2"/>
    </row>
    <row r="1095" customFormat="false" ht="13.35" hidden="false" customHeight="true" outlineLevel="0" collapsed="false">
      <c r="A1095" s="5" t="str">
        <f aca="false">HYPERLINK("https://www.fabsurplus.com/sdi_catalog/salesItemDetails.do?id=97856")</f>
        <v>https://www.fabsurplus.com/sdi_catalog/salesItemDetails.do?id=97856</v>
      </c>
      <c r="B1095" s="5" t="s">
        <v>2999</v>
      </c>
      <c r="C1095" s="5" t="s">
        <v>2995</v>
      </c>
      <c r="D1095" s="5" t="s">
        <v>2996</v>
      </c>
      <c r="E1095" s="5" t="s">
        <v>421</v>
      </c>
      <c r="F1095" s="5" t="s">
        <v>16</v>
      </c>
      <c r="G1095" s="5"/>
      <c r="H1095" s="5"/>
      <c r="I1095" s="5"/>
      <c r="J1095" s="5" t="s">
        <v>19</v>
      </c>
      <c r="K1095" s="5"/>
      <c r="L1095" s="5"/>
    </row>
    <row r="1096" customFormat="false" ht="13.35" hidden="false" customHeight="true" outlineLevel="0" collapsed="false">
      <c r="A1096" s="2" t="str">
        <f aca="false">HYPERLINK("https://www.fabsurplus.com/sdi_catalog/salesItemDetails.do?id=97857")</f>
        <v>https://www.fabsurplus.com/sdi_catalog/salesItemDetails.do?id=97857</v>
      </c>
      <c r="B1096" s="2" t="s">
        <v>3000</v>
      </c>
      <c r="C1096" s="2" t="s">
        <v>2995</v>
      </c>
      <c r="D1096" s="2" t="s">
        <v>2996</v>
      </c>
      <c r="E1096" s="2" t="s">
        <v>421</v>
      </c>
      <c r="F1096" s="2" t="s">
        <v>16</v>
      </c>
      <c r="G1096" s="2"/>
      <c r="H1096" s="2"/>
      <c r="I1096" s="2"/>
      <c r="J1096" s="2" t="s">
        <v>19</v>
      </c>
      <c r="K1096" s="2"/>
      <c r="L1096" s="2"/>
    </row>
    <row r="1097" customFormat="false" ht="13.35" hidden="false" customHeight="true" outlineLevel="0" collapsed="false">
      <c r="A1097" s="5" t="str">
        <f aca="false">HYPERLINK("https://www.fabsurplus.com/sdi_catalog/salesItemDetails.do?id=97858")</f>
        <v>https://www.fabsurplus.com/sdi_catalog/salesItemDetails.do?id=97858</v>
      </c>
      <c r="B1097" s="5" t="s">
        <v>3001</v>
      </c>
      <c r="C1097" s="5" t="s">
        <v>2995</v>
      </c>
      <c r="D1097" s="5" t="s">
        <v>3002</v>
      </c>
      <c r="E1097" s="5" t="s">
        <v>421</v>
      </c>
      <c r="F1097" s="5" t="s">
        <v>16</v>
      </c>
      <c r="G1097" s="5"/>
      <c r="H1097" s="5"/>
      <c r="I1097" s="5"/>
      <c r="J1097" s="5" t="s">
        <v>19</v>
      </c>
      <c r="K1097" s="5"/>
      <c r="L1097" s="5"/>
    </row>
    <row r="1098" customFormat="false" ht="13.35" hidden="false" customHeight="true" outlineLevel="0" collapsed="false">
      <c r="A1098" s="2" t="str">
        <f aca="false">HYPERLINK("https://www.fabsurplus.com/sdi_catalog/salesItemDetails.do?id=103003")</f>
        <v>https://www.fabsurplus.com/sdi_catalog/salesItemDetails.do?id=103003</v>
      </c>
      <c r="B1098" s="2" t="s">
        <v>3003</v>
      </c>
      <c r="C1098" s="2" t="s">
        <v>3004</v>
      </c>
      <c r="D1098" s="2" t="s">
        <v>3005</v>
      </c>
      <c r="E1098" s="2" t="s">
        <v>3006</v>
      </c>
      <c r="F1098" s="2" t="s">
        <v>16</v>
      </c>
      <c r="G1098" s="2" t="s">
        <v>3007</v>
      </c>
      <c r="H1098" s="2"/>
      <c r="I1098" s="3" t="n">
        <v>34121</v>
      </c>
      <c r="J1098" s="2" t="s">
        <v>19</v>
      </c>
      <c r="K1098" s="2"/>
      <c r="L1098" s="4" t="s">
        <v>3008</v>
      </c>
    </row>
    <row r="1099" customFormat="false" ht="13.35" hidden="false" customHeight="true" outlineLevel="0" collapsed="false">
      <c r="A1099" s="5" t="str">
        <f aca="false">HYPERLINK("https://www.fabsurplus.com/sdi_catalog/salesItemDetails.do?id=102958")</f>
        <v>https://www.fabsurplus.com/sdi_catalog/salesItemDetails.do?id=102958</v>
      </c>
      <c r="B1099" s="5" t="s">
        <v>3009</v>
      </c>
      <c r="C1099" s="5" t="s">
        <v>3010</v>
      </c>
      <c r="D1099" s="5" t="s">
        <v>3011</v>
      </c>
      <c r="E1099" s="5" t="s">
        <v>3012</v>
      </c>
      <c r="F1099" s="5" t="s">
        <v>16</v>
      </c>
      <c r="G1099" s="5" t="s">
        <v>1498</v>
      </c>
      <c r="H1099" s="5"/>
      <c r="I1099" s="6" t="n">
        <v>38869</v>
      </c>
      <c r="J1099" s="5" t="s">
        <v>19</v>
      </c>
      <c r="K1099" s="5"/>
      <c r="L1099" s="5"/>
    </row>
    <row r="1100" customFormat="false" ht="13.35" hidden="false" customHeight="true" outlineLevel="0" collapsed="false">
      <c r="A1100" s="5" t="str">
        <f aca="false">HYPERLINK("https://www.fabsurplus.com/sdi_catalog/salesItemDetails.do?id=97859")</f>
        <v>https://www.fabsurplus.com/sdi_catalog/salesItemDetails.do?id=97859</v>
      </c>
      <c r="B1100" s="5" t="s">
        <v>3013</v>
      </c>
      <c r="C1100" s="5" t="s">
        <v>3014</v>
      </c>
      <c r="D1100" s="5" t="s">
        <v>3015</v>
      </c>
      <c r="E1100" s="5" t="s">
        <v>3016</v>
      </c>
      <c r="F1100" s="5" t="s">
        <v>16</v>
      </c>
      <c r="G1100" s="5"/>
      <c r="H1100" s="5"/>
      <c r="I1100" s="5"/>
      <c r="J1100" s="5" t="s">
        <v>19</v>
      </c>
      <c r="K1100" s="5"/>
      <c r="L1100" s="5"/>
    </row>
    <row r="1101" customFormat="false" ht="13.35" hidden="false" customHeight="true" outlineLevel="0" collapsed="false">
      <c r="A1101" s="5" t="str">
        <f aca="false">HYPERLINK("https://www.fabsurplus.com/sdi_catalog/salesItemDetails.do?id=102219")</f>
        <v>https://www.fabsurplus.com/sdi_catalog/salesItemDetails.do?id=102219</v>
      </c>
      <c r="B1101" s="5" t="s">
        <v>3017</v>
      </c>
      <c r="C1101" s="5" t="s">
        <v>3018</v>
      </c>
      <c r="D1101" s="5" t="s">
        <v>3019</v>
      </c>
      <c r="E1101" s="5" t="s">
        <v>3020</v>
      </c>
      <c r="F1101" s="5" t="s">
        <v>16</v>
      </c>
      <c r="G1101" s="5" t="s">
        <v>17</v>
      </c>
      <c r="H1101" s="5"/>
      <c r="I1101" s="6" t="n">
        <v>41061</v>
      </c>
      <c r="J1101" s="5" t="s">
        <v>19</v>
      </c>
      <c r="K1101" s="5"/>
      <c r="L1101" s="5"/>
    </row>
    <row r="1102" customFormat="false" ht="13.35" hidden="false" customHeight="true" outlineLevel="0" collapsed="false">
      <c r="A1102" s="2" t="str">
        <f aca="false">HYPERLINK("https://www.fabsurplus.com/sdi_catalog/salesItemDetails.do?id=102220")</f>
        <v>https://www.fabsurplus.com/sdi_catalog/salesItemDetails.do?id=102220</v>
      </c>
      <c r="B1102" s="2" t="s">
        <v>3021</v>
      </c>
      <c r="C1102" s="2" t="s">
        <v>3018</v>
      </c>
      <c r="D1102" s="2" t="s">
        <v>3022</v>
      </c>
      <c r="E1102" s="2" t="s">
        <v>3023</v>
      </c>
      <c r="F1102" s="2" t="s">
        <v>16</v>
      </c>
      <c r="G1102" s="2" t="s">
        <v>17</v>
      </c>
      <c r="H1102" s="2"/>
      <c r="I1102" s="3" t="n">
        <v>42887</v>
      </c>
      <c r="J1102" s="2" t="s">
        <v>19</v>
      </c>
      <c r="K1102" s="2"/>
      <c r="L1102" s="2"/>
    </row>
    <row r="1103" customFormat="false" ht="13.35" hidden="false" customHeight="true" outlineLevel="0" collapsed="false">
      <c r="A1103" s="5" t="str">
        <f aca="false">HYPERLINK("https://www.fabsurplus.com/sdi_catalog/salesItemDetails.do?id=102221")</f>
        <v>https://www.fabsurplus.com/sdi_catalog/salesItemDetails.do?id=102221</v>
      </c>
      <c r="B1103" s="5" t="s">
        <v>3024</v>
      </c>
      <c r="C1103" s="5" t="s">
        <v>3018</v>
      </c>
      <c r="D1103" s="5" t="s">
        <v>3025</v>
      </c>
      <c r="E1103" s="5" t="s">
        <v>3026</v>
      </c>
      <c r="F1103" s="5" t="s">
        <v>16</v>
      </c>
      <c r="G1103" s="5" t="s">
        <v>17</v>
      </c>
      <c r="H1103" s="5"/>
      <c r="I1103" s="6" t="n">
        <v>41791</v>
      </c>
      <c r="J1103" s="5" t="s">
        <v>19</v>
      </c>
      <c r="K1103" s="5"/>
      <c r="L1103" s="5"/>
    </row>
    <row r="1104" customFormat="false" ht="13.35" hidden="false" customHeight="true" outlineLevel="0" collapsed="false">
      <c r="A1104" s="2" t="str">
        <f aca="false">HYPERLINK("https://www.fabsurplus.com/sdi_catalog/salesItemDetails.do?id=102222")</f>
        <v>https://www.fabsurplus.com/sdi_catalog/salesItemDetails.do?id=102222</v>
      </c>
      <c r="B1104" s="2" t="s">
        <v>3027</v>
      </c>
      <c r="C1104" s="2" t="s">
        <v>3018</v>
      </c>
      <c r="D1104" s="2" t="s">
        <v>3025</v>
      </c>
      <c r="E1104" s="2" t="s">
        <v>3028</v>
      </c>
      <c r="F1104" s="2" t="s">
        <v>16</v>
      </c>
      <c r="G1104" s="2" t="s">
        <v>17</v>
      </c>
      <c r="H1104" s="2"/>
      <c r="I1104" s="3" t="n">
        <v>41791</v>
      </c>
      <c r="J1104" s="2" t="s">
        <v>19</v>
      </c>
      <c r="K1104" s="2"/>
      <c r="L1104" s="2"/>
    </row>
    <row r="1105" customFormat="false" ht="13.35" hidden="false" customHeight="true" outlineLevel="0" collapsed="false">
      <c r="A1105" s="5" t="str">
        <f aca="false">HYPERLINK("https://www.fabsurplus.com/sdi_catalog/salesItemDetails.do?id=100937")</f>
        <v>https://www.fabsurplus.com/sdi_catalog/salesItemDetails.do?id=100937</v>
      </c>
      <c r="B1105" s="5" t="s">
        <v>3029</v>
      </c>
      <c r="C1105" s="5" t="s">
        <v>3030</v>
      </c>
      <c r="D1105" s="5" t="s">
        <v>3031</v>
      </c>
      <c r="E1105" s="5" t="s">
        <v>3032</v>
      </c>
      <c r="F1105" s="5" t="s">
        <v>16</v>
      </c>
      <c r="G1105" s="5"/>
      <c r="H1105" s="5" t="s">
        <v>18</v>
      </c>
      <c r="I1105" s="6" t="n">
        <v>41426</v>
      </c>
      <c r="J1105" s="5" t="s">
        <v>47</v>
      </c>
      <c r="K1105" s="5" t="s">
        <v>20</v>
      </c>
      <c r="L1105" s="7" t="s">
        <v>3033</v>
      </c>
    </row>
    <row r="1106" customFormat="false" ht="13.35" hidden="false" customHeight="true" outlineLevel="0" collapsed="false">
      <c r="A1106" s="2" t="str">
        <f aca="false">HYPERLINK("https://www.fabsurplus.com/sdi_catalog/salesItemDetails.do?id=77035")</f>
        <v>https://www.fabsurplus.com/sdi_catalog/salesItemDetails.do?id=77035</v>
      </c>
      <c r="B1106" s="2" t="s">
        <v>3034</v>
      </c>
      <c r="C1106" s="2" t="s">
        <v>3030</v>
      </c>
      <c r="D1106" s="2" t="s">
        <v>3035</v>
      </c>
      <c r="E1106" s="2" t="s">
        <v>3036</v>
      </c>
      <c r="F1106" s="2" t="s">
        <v>16</v>
      </c>
      <c r="G1106" s="2"/>
      <c r="H1106" s="2" t="s">
        <v>18</v>
      </c>
      <c r="I1106" s="2"/>
      <c r="J1106" s="2" t="s">
        <v>19</v>
      </c>
      <c r="K1106" s="2" t="s">
        <v>20</v>
      </c>
      <c r="L1106" s="4" t="s">
        <v>3037</v>
      </c>
    </row>
    <row r="1107" customFormat="false" ht="13.35" hidden="false" customHeight="true" outlineLevel="0" collapsed="false">
      <c r="A1107" s="5" t="str">
        <f aca="false">HYPERLINK("https://www.fabsurplus.com/sdi_catalog/salesItemDetails.do?id=102959")</f>
        <v>https://www.fabsurplus.com/sdi_catalog/salesItemDetails.do?id=102959</v>
      </c>
      <c r="B1107" s="5" t="s">
        <v>3038</v>
      </c>
      <c r="C1107" s="5" t="s">
        <v>3039</v>
      </c>
      <c r="D1107" s="5" t="s">
        <v>3015</v>
      </c>
      <c r="E1107" s="5" t="s">
        <v>3016</v>
      </c>
      <c r="F1107" s="5" t="s">
        <v>16</v>
      </c>
      <c r="G1107" s="5" t="s">
        <v>17</v>
      </c>
      <c r="H1107" s="5"/>
      <c r="I1107" s="5"/>
      <c r="J1107" s="5" t="s">
        <v>19</v>
      </c>
      <c r="K1107" s="5"/>
      <c r="L1107" s="5"/>
    </row>
    <row r="1108" customFormat="false" ht="13.35" hidden="false" customHeight="true" outlineLevel="0" collapsed="false">
      <c r="A1108" s="5" t="str">
        <f aca="false">HYPERLINK("https://www.fabsurplus.com/sdi_catalog/salesItemDetails.do?id=102060")</f>
        <v>https://www.fabsurplus.com/sdi_catalog/salesItemDetails.do?id=102060</v>
      </c>
      <c r="B1108" s="5" t="s">
        <v>3040</v>
      </c>
      <c r="C1108" s="5" t="s">
        <v>3041</v>
      </c>
      <c r="D1108" s="5" t="s">
        <v>3042</v>
      </c>
      <c r="E1108" s="5" t="s">
        <v>3043</v>
      </c>
      <c r="F1108" s="5" t="s">
        <v>336</v>
      </c>
      <c r="G1108" s="5" t="s">
        <v>88</v>
      </c>
      <c r="H1108" s="5" t="s">
        <v>26</v>
      </c>
      <c r="I1108" s="5"/>
      <c r="J1108" s="5" t="s">
        <v>19</v>
      </c>
      <c r="K1108" s="5" t="s">
        <v>20</v>
      </c>
      <c r="L1108" s="7" t="s">
        <v>3044</v>
      </c>
    </row>
    <row r="1109" customFormat="false" ht="13.35" hidden="false" customHeight="true" outlineLevel="0" collapsed="false">
      <c r="A1109" s="2" t="str">
        <f aca="false">HYPERLINK("https://www.fabsurplus.com/sdi_catalog/salesItemDetails.do?id=102223")</f>
        <v>https://www.fabsurplus.com/sdi_catalog/salesItemDetails.do?id=102223</v>
      </c>
      <c r="B1109" s="2" t="s">
        <v>3045</v>
      </c>
      <c r="C1109" s="2" t="s">
        <v>3041</v>
      </c>
      <c r="D1109" s="2" t="s">
        <v>3046</v>
      </c>
      <c r="E1109" s="2" t="s">
        <v>3047</v>
      </c>
      <c r="F1109" s="2" t="s">
        <v>16</v>
      </c>
      <c r="G1109" s="2" t="s">
        <v>36</v>
      </c>
      <c r="H1109" s="2"/>
      <c r="I1109" s="3" t="n">
        <v>35582</v>
      </c>
      <c r="J1109" s="2" t="s">
        <v>19</v>
      </c>
      <c r="K1109" s="2"/>
      <c r="L1109" s="2"/>
    </row>
    <row r="1110" customFormat="false" ht="13.35" hidden="false" customHeight="true" outlineLevel="0" collapsed="false">
      <c r="A1110" s="5" t="str">
        <f aca="false">HYPERLINK("https://www.fabsurplus.com/sdi_catalog/salesItemDetails.do?id=101713")</f>
        <v>https://www.fabsurplus.com/sdi_catalog/salesItemDetails.do?id=101713</v>
      </c>
      <c r="B1110" s="5" t="s">
        <v>3048</v>
      </c>
      <c r="C1110" s="5" t="s">
        <v>3041</v>
      </c>
      <c r="D1110" s="5" t="s">
        <v>3049</v>
      </c>
      <c r="E1110" s="5" t="s">
        <v>3050</v>
      </c>
      <c r="F1110" s="5" t="s">
        <v>16</v>
      </c>
      <c r="G1110" s="5" t="s">
        <v>17</v>
      </c>
      <c r="H1110" s="5"/>
      <c r="I1110" s="5"/>
      <c r="J1110" s="5" t="s">
        <v>47</v>
      </c>
      <c r="K1110" s="5"/>
      <c r="L1110" s="5"/>
    </row>
    <row r="1111" customFormat="false" ht="13.35" hidden="false" customHeight="true" outlineLevel="0" collapsed="false">
      <c r="A1111" s="5" t="str">
        <f aca="false">HYPERLINK("https://www.fabsurplus.com/sdi_catalog/salesItemDetails.do?id=101714")</f>
        <v>https://www.fabsurplus.com/sdi_catalog/salesItemDetails.do?id=101714</v>
      </c>
      <c r="B1111" s="5" t="s">
        <v>3051</v>
      </c>
      <c r="C1111" s="5" t="s">
        <v>3041</v>
      </c>
      <c r="D1111" s="5" t="s">
        <v>3052</v>
      </c>
      <c r="E1111" s="5" t="s">
        <v>3050</v>
      </c>
      <c r="F1111" s="5" t="s">
        <v>16</v>
      </c>
      <c r="G1111" s="5" t="s">
        <v>17</v>
      </c>
      <c r="H1111" s="5"/>
      <c r="I1111" s="5"/>
      <c r="J1111" s="5" t="s">
        <v>47</v>
      </c>
      <c r="K1111" s="5"/>
      <c r="L1111" s="5"/>
    </row>
    <row r="1112" customFormat="false" ht="13.35" hidden="false" customHeight="true" outlineLevel="0" collapsed="false">
      <c r="A1112" s="2" t="str">
        <f aca="false">HYPERLINK("https://www.fabsurplus.com/sdi_catalog/salesItemDetails.do?id=102699")</f>
        <v>https://www.fabsurplus.com/sdi_catalog/salesItemDetails.do?id=102699</v>
      </c>
      <c r="B1112" s="2" t="s">
        <v>3053</v>
      </c>
      <c r="C1112" s="2" t="s">
        <v>3041</v>
      </c>
      <c r="D1112" s="2" t="s">
        <v>3054</v>
      </c>
      <c r="E1112" s="2" t="s">
        <v>3055</v>
      </c>
      <c r="F1112" s="2" t="s">
        <v>16</v>
      </c>
      <c r="G1112" s="2" t="s">
        <v>17</v>
      </c>
      <c r="H1112" s="2"/>
      <c r="I1112" s="3" t="n">
        <v>41334</v>
      </c>
      <c r="J1112" s="2" t="s">
        <v>19</v>
      </c>
      <c r="K1112" s="2"/>
      <c r="L1112" s="4" t="s">
        <v>3056</v>
      </c>
    </row>
    <row r="1113" customFormat="false" ht="13.35" hidden="false" customHeight="true" outlineLevel="0" collapsed="false">
      <c r="A1113" s="2" t="str">
        <f aca="false">HYPERLINK("https://www.fabsurplus.com/sdi_catalog/salesItemDetails.do?id=101623")</f>
        <v>https://www.fabsurplus.com/sdi_catalog/salesItemDetails.do?id=101623</v>
      </c>
      <c r="B1113" s="2" t="s">
        <v>3057</v>
      </c>
      <c r="C1113" s="2" t="s">
        <v>3058</v>
      </c>
      <c r="D1113" s="2" t="s">
        <v>3059</v>
      </c>
      <c r="E1113" s="2" t="s">
        <v>3060</v>
      </c>
      <c r="F1113" s="2" t="s">
        <v>16</v>
      </c>
      <c r="G1113" s="2" t="s">
        <v>17</v>
      </c>
      <c r="H1113" s="2"/>
      <c r="I1113" s="2"/>
      <c r="J1113" s="2" t="s">
        <v>19</v>
      </c>
      <c r="K1113" s="2"/>
      <c r="L1113" s="2"/>
    </row>
    <row r="1114" customFormat="false" ht="13.35" hidden="false" customHeight="true" outlineLevel="0" collapsed="false">
      <c r="A1114" s="2" t="str">
        <f aca="false">HYPERLINK("https://www.fabsurplus.com/sdi_catalog/salesItemDetails.do?id=103088")</f>
        <v>https://www.fabsurplus.com/sdi_catalog/salesItemDetails.do?id=103088</v>
      </c>
      <c r="B1114" s="2" t="s">
        <v>3061</v>
      </c>
      <c r="C1114" s="2" t="s">
        <v>3041</v>
      </c>
      <c r="D1114" s="2" t="s">
        <v>3062</v>
      </c>
      <c r="E1114" s="2" t="s">
        <v>3063</v>
      </c>
      <c r="F1114" s="2" t="s">
        <v>16</v>
      </c>
      <c r="G1114" s="2" t="s">
        <v>658</v>
      </c>
      <c r="H1114" s="2"/>
      <c r="I1114" s="3" t="n">
        <v>41760</v>
      </c>
      <c r="J1114" s="2" t="s">
        <v>19</v>
      </c>
      <c r="K1114" s="2"/>
      <c r="L1114" s="4" t="s">
        <v>3064</v>
      </c>
    </row>
    <row r="1115" customFormat="false" ht="13.35" hidden="false" customHeight="true" outlineLevel="0" collapsed="false">
      <c r="A1115" s="5" t="str">
        <f aca="false">HYPERLINK("https://www.fabsurplus.com/sdi_catalog/salesItemDetails.do?id=103089")</f>
        <v>https://www.fabsurplus.com/sdi_catalog/salesItemDetails.do?id=103089</v>
      </c>
      <c r="B1115" s="5" t="s">
        <v>3065</v>
      </c>
      <c r="C1115" s="5" t="s">
        <v>3041</v>
      </c>
      <c r="D1115" s="5" t="s">
        <v>3062</v>
      </c>
      <c r="E1115" s="5" t="s">
        <v>3063</v>
      </c>
      <c r="F1115" s="5" t="s">
        <v>16</v>
      </c>
      <c r="G1115" s="5" t="s">
        <v>658</v>
      </c>
      <c r="H1115" s="5"/>
      <c r="I1115" s="6" t="n">
        <v>41821</v>
      </c>
      <c r="J1115" s="5" t="s">
        <v>19</v>
      </c>
      <c r="K1115" s="5"/>
      <c r="L1115" s="7" t="s">
        <v>3066</v>
      </c>
    </row>
    <row r="1116" customFormat="false" ht="13.35" hidden="false" customHeight="true" outlineLevel="0" collapsed="false">
      <c r="A1116" s="2" t="str">
        <f aca="false">HYPERLINK("https://www.fabsurplus.com/sdi_catalog/salesItemDetails.do?id=102960")</f>
        <v>https://www.fabsurplus.com/sdi_catalog/salesItemDetails.do?id=102960</v>
      </c>
      <c r="B1116" s="2" t="s">
        <v>3067</v>
      </c>
      <c r="C1116" s="2" t="s">
        <v>3058</v>
      </c>
      <c r="D1116" s="2" t="s">
        <v>3068</v>
      </c>
      <c r="E1116" s="2" t="s">
        <v>3069</v>
      </c>
      <c r="F1116" s="2" t="s">
        <v>16</v>
      </c>
      <c r="G1116" s="2" t="s">
        <v>499</v>
      </c>
      <c r="H1116" s="2"/>
      <c r="I1116" s="3" t="n">
        <v>38504</v>
      </c>
      <c r="J1116" s="2" t="s">
        <v>19</v>
      </c>
      <c r="K1116" s="2"/>
      <c r="L1116" s="2"/>
    </row>
    <row r="1117" customFormat="false" ht="13.35" hidden="false" customHeight="true" outlineLevel="0" collapsed="false">
      <c r="A1117" s="5" t="str">
        <f aca="false">HYPERLINK("https://www.fabsurplus.com/sdi_catalog/salesItemDetails.do?id=102961")</f>
        <v>https://www.fabsurplus.com/sdi_catalog/salesItemDetails.do?id=102961</v>
      </c>
      <c r="B1117" s="5" t="s">
        <v>3070</v>
      </c>
      <c r="C1117" s="5" t="s">
        <v>3058</v>
      </c>
      <c r="D1117" s="5" t="s">
        <v>3068</v>
      </c>
      <c r="E1117" s="5" t="s">
        <v>3069</v>
      </c>
      <c r="F1117" s="5" t="s">
        <v>16</v>
      </c>
      <c r="G1117" s="5" t="s">
        <v>499</v>
      </c>
      <c r="H1117" s="5"/>
      <c r="I1117" s="6" t="n">
        <v>38504</v>
      </c>
      <c r="J1117" s="5" t="s">
        <v>19</v>
      </c>
      <c r="K1117" s="5"/>
      <c r="L1117" s="5"/>
    </row>
    <row r="1118" customFormat="false" ht="13.35" hidden="false" customHeight="true" outlineLevel="0" collapsed="false">
      <c r="A1118" s="2" t="str">
        <f aca="false">HYPERLINK("https://www.fabsurplus.com/sdi_catalog/salesItemDetails.do?id=102962")</f>
        <v>https://www.fabsurplus.com/sdi_catalog/salesItemDetails.do?id=102962</v>
      </c>
      <c r="B1118" s="2" t="s">
        <v>3071</v>
      </c>
      <c r="C1118" s="2" t="s">
        <v>3058</v>
      </c>
      <c r="D1118" s="2" t="s">
        <v>3068</v>
      </c>
      <c r="E1118" s="2" t="s">
        <v>3069</v>
      </c>
      <c r="F1118" s="2" t="s">
        <v>16</v>
      </c>
      <c r="G1118" s="2" t="s">
        <v>499</v>
      </c>
      <c r="H1118" s="2"/>
      <c r="I1118" s="3" t="n">
        <v>38504</v>
      </c>
      <c r="J1118" s="2" t="s">
        <v>19</v>
      </c>
      <c r="K1118" s="2"/>
      <c r="L1118" s="2"/>
    </row>
    <row r="1119" customFormat="false" ht="13.35" hidden="false" customHeight="true" outlineLevel="0" collapsed="false">
      <c r="A1119" s="5" t="str">
        <f aca="false">HYPERLINK("https://www.fabsurplus.com/sdi_catalog/salesItemDetails.do?id=102963")</f>
        <v>https://www.fabsurplus.com/sdi_catalog/salesItemDetails.do?id=102963</v>
      </c>
      <c r="B1119" s="5" t="s">
        <v>3072</v>
      </c>
      <c r="C1119" s="5" t="s">
        <v>3058</v>
      </c>
      <c r="D1119" s="5" t="s">
        <v>3068</v>
      </c>
      <c r="E1119" s="5" t="s">
        <v>3069</v>
      </c>
      <c r="F1119" s="5" t="s">
        <v>16</v>
      </c>
      <c r="G1119" s="5" t="s">
        <v>499</v>
      </c>
      <c r="H1119" s="5"/>
      <c r="I1119" s="6" t="n">
        <v>38869</v>
      </c>
      <c r="J1119" s="5" t="s">
        <v>19</v>
      </c>
      <c r="K1119" s="5"/>
      <c r="L1119" s="5"/>
    </row>
    <row r="1120" customFormat="false" ht="13.35" hidden="false" customHeight="true" outlineLevel="0" collapsed="false">
      <c r="A1120" s="2" t="str">
        <f aca="false">HYPERLINK("https://www.fabsurplus.com/sdi_catalog/salesItemDetails.do?id=78854")</f>
        <v>https://www.fabsurplus.com/sdi_catalog/salesItemDetails.do?id=78854</v>
      </c>
      <c r="B1120" s="2" t="s">
        <v>3073</v>
      </c>
      <c r="C1120" s="2" t="s">
        <v>3058</v>
      </c>
      <c r="D1120" s="2" t="s">
        <v>3074</v>
      </c>
      <c r="E1120" s="2" t="s">
        <v>3075</v>
      </c>
      <c r="F1120" s="2" t="s">
        <v>16</v>
      </c>
      <c r="G1120" s="2" t="s">
        <v>499</v>
      </c>
      <c r="H1120" s="2" t="s">
        <v>18</v>
      </c>
      <c r="I1120" s="3" t="n">
        <v>39234</v>
      </c>
      <c r="J1120" s="2" t="s">
        <v>47</v>
      </c>
      <c r="K1120" s="2" t="s">
        <v>20</v>
      </c>
      <c r="L1120" s="4" t="s">
        <v>3076</v>
      </c>
    </row>
    <row r="1121" customFormat="false" ht="13.35" hidden="false" customHeight="true" outlineLevel="0" collapsed="false">
      <c r="A1121" s="5" t="str">
        <f aca="false">HYPERLINK("https://www.fabsurplus.com/sdi_catalog/salesItemDetails.do?id=83744")</f>
        <v>https://www.fabsurplus.com/sdi_catalog/salesItemDetails.do?id=83744</v>
      </c>
      <c r="B1121" s="5" t="s">
        <v>3077</v>
      </c>
      <c r="C1121" s="5" t="s">
        <v>3058</v>
      </c>
      <c r="D1121" s="5" t="s">
        <v>3074</v>
      </c>
      <c r="E1121" s="5" t="s">
        <v>3075</v>
      </c>
      <c r="F1121" s="5" t="s">
        <v>16</v>
      </c>
      <c r="G1121" s="5" t="s">
        <v>499</v>
      </c>
      <c r="H1121" s="5" t="s">
        <v>18</v>
      </c>
      <c r="I1121" s="6" t="n">
        <v>38869</v>
      </c>
      <c r="J1121" s="5" t="s">
        <v>47</v>
      </c>
      <c r="K1121" s="5" t="s">
        <v>20</v>
      </c>
      <c r="L1121" s="7" t="s">
        <v>3076</v>
      </c>
    </row>
    <row r="1122" customFormat="false" ht="13.35" hidden="false" customHeight="true" outlineLevel="0" collapsed="false">
      <c r="A1122" s="2" t="str">
        <f aca="false">HYPERLINK("https://www.fabsurplus.com/sdi_catalog/salesItemDetails.do?id=83745")</f>
        <v>https://www.fabsurplus.com/sdi_catalog/salesItemDetails.do?id=83745</v>
      </c>
      <c r="B1122" s="2" t="s">
        <v>3078</v>
      </c>
      <c r="C1122" s="2" t="s">
        <v>3058</v>
      </c>
      <c r="D1122" s="2" t="s">
        <v>3074</v>
      </c>
      <c r="E1122" s="2" t="s">
        <v>3075</v>
      </c>
      <c r="F1122" s="2" t="s">
        <v>16</v>
      </c>
      <c r="G1122" s="2" t="s">
        <v>499</v>
      </c>
      <c r="H1122" s="2" t="s">
        <v>18</v>
      </c>
      <c r="I1122" s="3" t="n">
        <v>38504</v>
      </c>
      <c r="J1122" s="2" t="s">
        <v>47</v>
      </c>
      <c r="K1122" s="2" t="s">
        <v>20</v>
      </c>
      <c r="L1122" s="4" t="s">
        <v>3076</v>
      </c>
    </row>
    <row r="1123" customFormat="false" ht="13.35" hidden="false" customHeight="true" outlineLevel="0" collapsed="false">
      <c r="A1123" s="5" t="str">
        <f aca="false">HYPERLINK("https://www.fabsurplus.com/sdi_catalog/salesItemDetails.do?id=87649")</f>
        <v>https://www.fabsurplus.com/sdi_catalog/salesItemDetails.do?id=87649</v>
      </c>
      <c r="B1123" s="5" t="s">
        <v>3079</v>
      </c>
      <c r="C1123" s="5" t="s">
        <v>3041</v>
      </c>
      <c r="D1123" s="5" t="s">
        <v>3074</v>
      </c>
      <c r="E1123" s="5" t="s">
        <v>3075</v>
      </c>
      <c r="F1123" s="5" t="s">
        <v>16</v>
      </c>
      <c r="G1123" s="5" t="s">
        <v>499</v>
      </c>
      <c r="H1123" s="5" t="s">
        <v>18</v>
      </c>
      <c r="I1123" s="6" t="n">
        <v>39234</v>
      </c>
      <c r="J1123" s="5" t="s">
        <v>47</v>
      </c>
      <c r="K1123" s="5" t="s">
        <v>20</v>
      </c>
      <c r="L1123" s="7" t="s">
        <v>3076</v>
      </c>
    </row>
    <row r="1124" customFormat="false" ht="13.35" hidden="false" customHeight="true" outlineLevel="0" collapsed="false">
      <c r="A1124" s="2" t="str">
        <f aca="false">HYPERLINK("https://www.fabsurplus.com/sdi_catalog/salesItemDetails.do?id=80339")</f>
        <v>https://www.fabsurplus.com/sdi_catalog/salesItemDetails.do?id=80339</v>
      </c>
      <c r="B1124" s="2" t="s">
        <v>3080</v>
      </c>
      <c r="C1124" s="2" t="s">
        <v>3041</v>
      </c>
      <c r="D1124" s="2" t="s">
        <v>3074</v>
      </c>
      <c r="E1124" s="2" t="s">
        <v>3081</v>
      </c>
      <c r="F1124" s="2" t="s">
        <v>16</v>
      </c>
      <c r="G1124" s="2" t="s">
        <v>160</v>
      </c>
      <c r="H1124" s="2" t="s">
        <v>26</v>
      </c>
      <c r="I1124" s="3" t="n">
        <v>38504</v>
      </c>
      <c r="J1124" s="2" t="s">
        <v>19</v>
      </c>
      <c r="K1124" s="2" t="s">
        <v>20</v>
      </c>
      <c r="L1124" s="4" t="s">
        <v>3076</v>
      </c>
    </row>
    <row r="1125" customFormat="false" ht="13.35" hidden="false" customHeight="true" outlineLevel="0" collapsed="false">
      <c r="A1125" s="2" t="str">
        <f aca="false">HYPERLINK("https://www.fabsurplus.com/sdi_catalog/salesItemDetails.do?id=102964")</f>
        <v>https://www.fabsurplus.com/sdi_catalog/salesItemDetails.do?id=102964</v>
      </c>
      <c r="B1125" s="2" t="s">
        <v>3082</v>
      </c>
      <c r="C1125" s="2" t="s">
        <v>3058</v>
      </c>
      <c r="D1125" s="2" t="s">
        <v>3083</v>
      </c>
      <c r="E1125" s="2" t="s">
        <v>3069</v>
      </c>
      <c r="F1125" s="2" t="s">
        <v>1988</v>
      </c>
      <c r="G1125" s="2" t="s">
        <v>499</v>
      </c>
      <c r="H1125" s="2"/>
      <c r="I1125" s="3" t="n">
        <v>39234</v>
      </c>
      <c r="J1125" s="2" t="s">
        <v>19</v>
      </c>
      <c r="K1125" s="2"/>
      <c r="L1125" s="2"/>
    </row>
    <row r="1126" customFormat="false" ht="13.35" hidden="false" customHeight="true" outlineLevel="0" collapsed="false">
      <c r="A1126" s="2" t="str">
        <f aca="false">HYPERLINK("https://www.fabsurplus.com/sdi_catalog/salesItemDetails.do?id=88396")</f>
        <v>https://www.fabsurplus.com/sdi_catalog/salesItemDetails.do?id=88396</v>
      </c>
      <c r="B1126" s="2" t="s">
        <v>3084</v>
      </c>
      <c r="C1126" s="2" t="s">
        <v>3041</v>
      </c>
      <c r="D1126" s="2" t="s">
        <v>3085</v>
      </c>
      <c r="E1126" s="2" t="s">
        <v>1357</v>
      </c>
      <c r="F1126" s="2" t="s">
        <v>16</v>
      </c>
      <c r="G1126" s="2" t="s">
        <v>160</v>
      </c>
      <c r="H1126" s="2" t="s">
        <v>26</v>
      </c>
      <c r="I1126" s="2"/>
      <c r="J1126" s="2" t="s">
        <v>47</v>
      </c>
      <c r="K1126" s="2" t="s">
        <v>20</v>
      </c>
      <c r="L1126" s="2"/>
    </row>
    <row r="1127" customFormat="false" ht="13.35" hidden="false" customHeight="true" outlineLevel="0" collapsed="false">
      <c r="A1127" s="5" t="str">
        <f aca="false">HYPERLINK("https://www.fabsurplus.com/sdi_catalog/salesItemDetails.do?id=102524")</f>
        <v>https://www.fabsurplus.com/sdi_catalog/salesItemDetails.do?id=102524</v>
      </c>
      <c r="B1127" s="5" t="s">
        <v>3086</v>
      </c>
      <c r="C1127" s="5" t="s">
        <v>3058</v>
      </c>
      <c r="D1127" s="5" t="s">
        <v>3087</v>
      </c>
      <c r="E1127" s="5" t="s">
        <v>1357</v>
      </c>
      <c r="F1127" s="5" t="s">
        <v>366</v>
      </c>
      <c r="G1127" s="5"/>
      <c r="H1127" s="5"/>
      <c r="I1127" s="6" t="n">
        <v>39600</v>
      </c>
      <c r="J1127" s="5" t="s">
        <v>47</v>
      </c>
      <c r="K1127" s="5"/>
      <c r="L1127" s="5"/>
    </row>
    <row r="1128" customFormat="false" ht="13.35" hidden="false" customHeight="true" outlineLevel="0" collapsed="false">
      <c r="A1128" s="2" t="str">
        <f aca="false">HYPERLINK("https://www.fabsurplus.com/sdi_catalog/salesItemDetails.do?id=102525")</f>
        <v>https://www.fabsurplus.com/sdi_catalog/salesItemDetails.do?id=102525</v>
      </c>
      <c r="B1128" s="2" t="s">
        <v>3088</v>
      </c>
      <c r="C1128" s="2" t="s">
        <v>3058</v>
      </c>
      <c r="D1128" s="2" t="s">
        <v>3087</v>
      </c>
      <c r="E1128" s="2" t="s">
        <v>1357</v>
      </c>
      <c r="F1128" s="2" t="s">
        <v>125</v>
      </c>
      <c r="G1128" s="2"/>
      <c r="H1128" s="2"/>
      <c r="I1128" s="3" t="n">
        <v>42156</v>
      </c>
      <c r="J1128" s="2" t="s">
        <v>47</v>
      </c>
      <c r="K1128" s="2"/>
      <c r="L1128" s="2"/>
    </row>
    <row r="1129" customFormat="false" ht="13.35" hidden="false" customHeight="true" outlineLevel="0" collapsed="false">
      <c r="A1129" s="2" t="str">
        <f aca="false">HYPERLINK("https://www.fabsurplus.com/sdi_catalog/salesItemDetails.do?id=97860")</f>
        <v>https://www.fabsurplus.com/sdi_catalog/salesItemDetails.do?id=97860</v>
      </c>
      <c r="B1129" s="2" t="s">
        <v>3089</v>
      </c>
      <c r="C1129" s="2" t="s">
        <v>3058</v>
      </c>
      <c r="D1129" s="2" t="s">
        <v>3090</v>
      </c>
      <c r="E1129" s="2" t="s">
        <v>1357</v>
      </c>
      <c r="F1129" s="2" t="s">
        <v>16</v>
      </c>
      <c r="G1129" s="2"/>
      <c r="H1129" s="2"/>
      <c r="I1129" s="2"/>
      <c r="J1129" s="2" t="s">
        <v>19</v>
      </c>
      <c r="K1129" s="2"/>
      <c r="L1129" s="2"/>
    </row>
    <row r="1130" customFormat="false" ht="13.35" hidden="false" customHeight="true" outlineLevel="0" collapsed="false">
      <c r="A1130" s="2" t="str">
        <f aca="false">HYPERLINK("https://www.fabsurplus.com/sdi_catalog/salesItemDetails.do?id=97861")</f>
        <v>https://www.fabsurplus.com/sdi_catalog/salesItemDetails.do?id=97861</v>
      </c>
      <c r="B1130" s="2" t="s">
        <v>3091</v>
      </c>
      <c r="C1130" s="2" t="s">
        <v>3058</v>
      </c>
      <c r="D1130" s="2" t="s">
        <v>3090</v>
      </c>
      <c r="E1130" s="2" t="s">
        <v>1357</v>
      </c>
      <c r="F1130" s="2" t="s">
        <v>16</v>
      </c>
      <c r="G1130" s="2"/>
      <c r="H1130" s="2"/>
      <c r="I1130" s="2"/>
      <c r="J1130" s="2" t="s">
        <v>19</v>
      </c>
      <c r="K1130" s="2"/>
      <c r="L1130" s="2"/>
    </row>
    <row r="1131" customFormat="false" ht="13.35" hidden="false" customHeight="true" outlineLevel="0" collapsed="false">
      <c r="A1131" s="5" t="str">
        <f aca="false">HYPERLINK("https://www.fabsurplus.com/sdi_catalog/salesItemDetails.do?id=95998")</f>
        <v>https://www.fabsurplus.com/sdi_catalog/salesItemDetails.do?id=95998</v>
      </c>
      <c r="B1131" s="5" t="s">
        <v>3092</v>
      </c>
      <c r="C1131" s="5" t="s">
        <v>3058</v>
      </c>
      <c r="D1131" s="5" t="s">
        <v>3093</v>
      </c>
      <c r="E1131" s="5" t="s">
        <v>3094</v>
      </c>
      <c r="F1131" s="5" t="s">
        <v>16</v>
      </c>
      <c r="G1131" s="5" t="s">
        <v>3095</v>
      </c>
      <c r="H1131" s="5"/>
      <c r="I1131" s="5"/>
      <c r="J1131" s="5" t="s">
        <v>19</v>
      </c>
      <c r="K1131" s="5"/>
      <c r="L1131" s="7" t="s">
        <v>209</v>
      </c>
    </row>
    <row r="1132" customFormat="false" ht="13.35" hidden="false" customHeight="true" outlineLevel="0" collapsed="false">
      <c r="A1132" s="2" t="str">
        <f aca="false">HYPERLINK("https://www.fabsurplus.com/sdi_catalog/salesItemDetails.do?id=95934")</f>
        <v>https://www.fabsurplus.com/sdi_catalog/salesItemDetails.do?id=95934</v>
      </c>
      <c r="B1132" s="2" t="s">
        <v>3096</v>
      </c>
      <c r="C1132" s="2" t="s">
        <v>3041</v>
      </c>
      <c r="D1132" s="2" t="s">
        <v>3097</v>
      </c>
      <c r="E1132" s="2" t="s">
        <v>3098</v>
      </c>
      <c r="F1132" s="2" t="s">
        <v>16</v>
      </c>
      <c r="G1132" s="2" t="s">
        <v>17</v>
      </c>
      <c r="H1132" s="2"/>
      <c r="I1132" s="2"/>
      <c r="J1132" s="2" t="s">
        <v>19</v>
      </c>
      <c r="K1132" s="2"/>
      <c r="L1132" s="2" t="s">
        <v>3099</v>
      </c>
    </row>
    <row r="1133" customFormat="false" ht="13.35" hidden="false" customHeight="true" outlineLevel="0" collapsed="false">
      <c r="A1133" s="5" t="str">
        <f aca="false">HYPERLINK("https://www.fabsurplus.com/sdi_catalog/salesItemDetails.do?id=101715")</f>
        <v>https://www.fabsurplus.com/sdi_catalog/salesItemDetails.do?id=101715</v>
      </c>
      <c r="B1133" s="5" t="s">
        <v>3100</v>
      </c>
      <c r="C1133" s="5" t="s">
        <v>3041</v>
      </c>
      <c r="D1133" s="5" t="s">
        <v>3101</v>
      </c>
      <c r="E1133" s="5" t="s">
        <v>3102</v>
      </c>
      <c r="F1133" s="5" t="s">
        <v>16</v>
      </c>
      <c r="G1133" s="5"/>
      <c r="H1133" s="5"/>
      <c r="I1133" s="5"/>
      <c r="J1133" s="5" t="s">
        <v>47</v>
      </c>
      <c r="K1133" s="5"/>
      <c r="L1133" s="5"/>
    </row>
    <row r="1134" customFormat="false" ht="13.35" hidden="false" customHeight="true" outlineLevel="0" collapsed="false">
      <c r="A1134" s="2" t="str">
        <f aca="false">HYPERLINK("https://www.fabsurplus.com/sdi_catalog/salesItemDetails.do?id=102224")</f>
        <v>https://www.fabsurplus.com/sdi_catalog/salesItemDetails.do?id=102224</v>
      </c>
      <c r="B1134" s="2" t="s">
        <v>3103</v>
      </c>
      <c r="C1134" s="2" t="s">
        <v>3041</v>
      </c>
      <c r="D1134" s="2" t="s">
        <v>3104</v>
      </c>
      <c r="E1134" s="2" t="s">
        <v>3102</v>
      </c>
      <c r="F1134" s="2" t="s">
        <v>16</v>
      </c>
      <c r="G1134" s="2" t="s">
        <v>17</v>
      </c>
      <c r="H1134" s="2"/>
      <c r="I1134" s="3" t="n">
        <v>38869</v>
      </c>
      <c r="J1134" s="2" t="s">
        <v>19</v>
      </c>
      <c r="K1134" s="2"/>
      <c r="L1134" s="2"/>
    </row>
    <row r="1135" customFormat="false" ht="13.35" hidden="false" customHeight="true" outlineLevel="0" collapsed="false">
      <c r="A1135" s="2" t="str">
        <f aca="false">HYPERLINK("https://www.fabsurplus.com/sdi_catalog/salesItemDetails.do?id=102225")</f>
        <v>https://www.fabsurplus.com/sdi_catalog/salesItemDetails.do?id=102225</v>
      </c>
      <c r="B1135" s="2" t="s">
        <v>3105</v>
      </c>
      <c r="C1135" s="2" t="s">
        <v>3041</v>
      </c>
      <c r="D1135" s="2" t="s">
        <v>3106</v>
      </c>
      <c r="E1135" s="2" t="s">
        <v>3107</v>
      </c>
      <c r="F1135" s="2" t="s">
        <v>16</v>
      </c>
      <c r="G1135" s="2"/>
      <c r="H1135" s="2"/>
      <c r="I1135" s="3" t="n">
        <v>34851</v>
      </c>
      <c r="J1135" s="2" t="s">
        <v>19</v>
      </c>
      <c r="K1135" s="2"/>
      <c r="L1135" s="2"/>
    </row>
    <row r="1136" customFormat="false" ht="13.35" hidden="false" customHeight="true" outlineLevel="0" collapsed="false">
      <c r="A1136" s="5" t="str">
        <f aca="false">HYPERLINK("https://www.fabsurplus.com/sdi_catalog/salesItemDetails.do?id=91395")</f>
        <v>https://www.fabsurplus.com/sdi_catalog/salesItemDetails.do?id=91395</v>
      </c>
      <c r="B1136" s="5" t="s">
        <v>3108</v>
      </c>
      <c r="C1136" s="5" t="s">
        <v>3058</v>
      </c>
      <c r="D1136" s="5" t="s">
        <v>3109</v>
      </c>
      <c r="E1136" s="5" t="s">
        <v>3110</v>
      </c>
      <c r="F1136" s="5" t="s">
        <v>16</v>
      </c>
      <c r="G1136" s="5"/>
      <c r="H1136" s="5"/>
      <c r="I1136" s="5"/>
      <c r="J1136" s="5" t="s">
        <v>19</v>
      </c>
      <c r="K1136" s="5"/>
      <c r="L1136" s="5" t="s">
        <v>112</v>
      </c>
    </row>
    <row r="1137" customFormat="false" ht="13.35" hidden="false" customHeight="true" outlineLevel="0" collapsed="false">
      <c r="A1137" s="5" t="str">
        <f aca="false">HYPERLINK("https://www.fabsurplus.com/sdi_catalog/salesItemDetails.do?id=97862")</f>
        <v>https://www.fabsurplus.com/sdi_catalog/salesItemDetails.do?id=97862</v>
      </c>
      <c r="B1137" s="5" t="s">
        <v>3111</v>
      </c>
      <c r="C1137" s="5" t="s">
        <v>3058</v>
      </c>
      <c r="D1137" s="5" t="s">
        <v>3112</v>
      </c>
      <c r="E1137" s="5" t="s">
        <v>3113</v>
      </c>
      <c r="F1137" s="5" t="s">
        <v>16</v>
      </c>
      <c r="G1137" s="5" t="s">
        <v>17</v>
      </c>
      <c r="H1137" s="5"/>
      <c r="I1137" s="5"/>
      <c r="J1137" s="5" t="s">
        <v>19</v>
      </c>
      <c r="K1137" s="5"/>
      <c r="L1137" s="5"/>
    </row>
    <row r="1138" customFormat="false" ht="13.35" hidden="false" customHeight="true" outlineLevel="0" collapsed="false">
      <c r="A1138" s="2" t="str">
        <f aca="false">HYPERLINK("https://www.fabsurplus.com/sdi_catalog/salesItemDetails.do?id=102226")</f>
        <v>https://www.fabsurplus.com/sdi_catalog/salesItemDetails.do?id=102226</v>
      </c>
      <c r="B1138" s="2" t="s">
        <v>3114</v>
      </c>
      <c r="C1138" s="2" t="s">
        <v>3041</v>
      </c>
      <c r="D1138" s="2" t="s">
        <v>3115</v>
      </c>
      <c r="E1138" s="2" t="s">
        <v>3116</v>
      </c>
      <c r="F1138" s="2" t="s">
        <v>16</v>
      </c>
      <c r="G1138" s="2" t="s">
        <v>17</v>
      </c>
      <c r="H1138" s="2"/>
      <c r="I1138" s="3" t="n">
        <v>38504</v>
      </c>
      <c r="J1138" s="2" t="s">
        <v>19</v>
      </c>
      <c r="K1138" s="2"/>
      <c r="L1138" s="2"/>
    </row>
    <row r="1139" customFormat="false" ht="13.35" hidden="false" customHeight="true" outlineLevel="0" collapsed="false">
      <c r="A1139" s="5" t="str">
        <f aca="false">HYPERLINK("https://www.fabsurplus.com/sdi_catalog/salesItemDetails.do?id=91396")</f>
        <v>https://www.fabsurplus.com/sdi_catalog/salesItemDetails.do?id=91396</v>
      </c>
      <c r="B1139" s="5" t="s">
        <v>3117</v>
      </c>
      <c r="C1139" s="5" t="s">
        <v>3058</v>
      </c>
      <c r="D1139" s="5" t="s">
        <v>3118</v>
      </c>
      <c r="E1139" s="5" t="s">
        <v>3116</v>
      </c>
      <c r="F1139" s="5" t="s">
        <v>16</v>
      </c>
      <c r="G1139" s="5" t="s">
        <v>17</v>
      </c>
      <c r="H1139" s="5"/>
      <c r="I1139" s="6" t="n">
        <v>38869</v>
      </c>
      <c r="J1139" s="5" t="s">
        <v>19</v>
      </c>
      <c r="K1139" s="5"/>
      <c r="L1139" s="5" t="s">
        <v>112</v>
      </c>
    </row>
    <row r="1140" customFormat="false" ht="13.35" hidden="false" customHeight="true" outlineLevel="0" collapsed="false">
      <c r="A1140" s="5" t="str">
        <f aca="false">HYPERLINK("https://www.fabsurplus.com/sdi_catalog/salesItemDetails.do?id=91397")</f>
        <v>https://www.fabsurplus.com/sdi_catalog/salesItemDetails.do?id=91397</v>
      </c>
      <c r="B1140" s="5" t="s">
        <v>3119</v>
      </c>
      <c r="C1140" s="5" t="s">
        <v>3058</v>
      </c>
      <c r="D1140" s="5" t="s">
        <v>3118</v>
      </c>
      <c r="E1140" s="5" t="s">
        <v>3116</v>
      </c>
      <c r="F1140" s="5" t="s">
        <v>16</v>
      </c>
      <c r="G1140" s="5"/>
      <c r="H1140" s="5"/>
      <c r="I1140" s="5"/>
      <c r="J1140" s="5" t="s">
        <v>19</v>
      </c>
      <c r="K1140" s="5"/>
      <c r="L1140" s="5" t="s">
        <v>112</v>
      </c>
    </row>
    <row r="1141" customFormat="false" ht="13.35" hidden="false" customHeight="true" outlineLevel="0" collapsed="false">
      <c r="A1141" s="5" t="str">
        <f aca="false">HYPERLINK("https://www.fabsurplus.com/sdi_catalog/salesItemDetails.do?id=102965")</f>
        <v>https://www.fabsurplus.com/sdi_catalog/salesItemDetails.do?id=102965</v>
      </c>
      <c r="B1141" s="5" t="s">
        <v>3120</v>
      </c>
      <c r="C1141" s="5" t="s">
        <v>3058</v>
      </c>
      <c r="D1141" s="5" t="s">
        <v>3121</v>
      </c>
      <c r="E1141" s="5" t="s">
        <v>3122</v>
      </c>
      <c r="F1141" s="5" t="s">
        <v>16</v>
      </c>
      <c r="G1141" s="5" t="s">
        <v>17</v>
      </c>
      <c r="H1141" s="5"/>
      <c r="I1141" s="6" t="n">
        <v>39234</v>
      </c>
      <c r="J1141" s="5" t="s">
        <v>19</v>
      </c>
      <c r="K1141" s="5"/>
      <c r="L1141" s="5"/>
    </row>
    <row r="1142" customFormat="false" ht="13.35" hidden="false" customHeight="true" outlineLevel="0" collapsed="false">
      <c r="A1142" s="5" t="str">
        <f aca="false">HYPERLINK("https://www.fabsurplus.com/sdi_catalog/salesItemDetails.do?id=95361")</f>
        <v>https://www.fabsurplus.com/sdi_catalog/salesItemDetails.do?id=95361</v>
      </c>
      <c r="B1142" s="5" t="s">
        <v>3123</v>
      </c>
      <c r="C1142" s="5" t="s">
        <v>3041</v>
      </c>
      <c r="D1142" s="5" t="s">
        <v>3121</v>
      </c>
      <c r="E1142" s="5" t="s">
        <v>3124</v>
      </c>
      <c r="F1142" s="5" t="s">
        <v>16</v>
      </c>
      <c r="G1142" s="5" t="s">
        <v>17</v>
      </c>
      <c r="H1142" s="5" t="s">
        <v>26</v>
      </c>
      <c r="I1142" s="6" t="n">
        <v>39234</v>
      </c>
      <c r="J1142" s="5" t="s">
        <v>19</v>
      </c>
      <c r="K1142" s="5"/>
      <c r="L1142" s="7" t="s">
        <v>3125</v>
      </c>
    </row>
    <row r="1143" customFormat="false" ht="13.35" hidden="false" customHeight="true" outlineLevel="0" collapsed="false">
      <c r="A1143" s="2" t="str">
        <f aca="false">HYPERLINK("https://www.fabsurplus.com/sdi_catalog/salesItemDetails.do?id=91398")</f>
        <v>https://www.fabsurplus.com/sdi_catalog/salesItemDetails.do?id=91398</v>
      </c>
      <c r="B1143" s="2" t="s">
        <v>3126</v>
      </c>
      <c r="C1143" s="2" t="s">
        <v>3058</v>
      </c>
      <c r="D1143" s="2" t="s">
        <v>3127</v>
      </c>
      <c r="E1143" s="2" t="s">
        <v>3128</v>
      </c>
      <c r="F1143" s="2" t="s">
        <v>16</v>
      </c>
      <c r="G1143" s="2" t="s">
        <v>17</v>
      </c>
      <c r="H1143" s="2"/>
      <c r="I1143" s="3" t="n">
        <v>39234</v>
      </c>
      <c r="J1143" s="2" t="s">
        <v>19</v>
      </c>
      <c r="K1143" s="2"/>
      <c r="L1143" s="2" t="s">
        <v>112</v>
      </c>
    </row>
    <row r="1144" customFormat="false" ht="13.35" hidden="false" customHeight="true" outlineLevel="0" collapsed="false">
      <c r="A1144" s="2" t="str">
        <f aca="false">HYPERLINK("https://www.fabsurplus.com/sdi_catalog/salesItemDetails.do?id=91399")</f>
        <v>https://www.fabsurplus.com/sdi_catalog/salesItemDetails.do?id=91399</v>
      </c>
      <c r="B1144" s="2" t="s">
        <v>3129</v>
      </c>
      <c r="C1144" s="2" t="s">
        <v>3058</v>
      </c>
      <c r="D1144" s="2" t="s">
        <v>3127</v>
      </c>
      <c r="E1144" s="2" t="s">
        <v>3128</v>
      </c>
      <c r="F1144" s="2" t="s">
        <v>16</v>
      </c>
      <c r="G1144" s="2" t="s">
        <v>17</v>
      </c>
      <c r="H1144" s="2"/>
      <c r="I1144" s="3" t="n">
        <v>39234</v>
      </c>
      <c r="J1144" s="2" t="s">
        <v>19</v>
      </c>
      <c r="K1144" s="2"/>
      <c r="L1144" s="2" t="s">
        <v>112</v>
      </c>
    </row>
    <row r="1145" customFormat="false" ht="13.35" hidden="false" customHeight="true" outlineLevel="0" collapsed="false">
      <c r="A1145" s="5" t="str">
        <f aca="false">HYPERLINK("https://www.fabsurplus.com/sdi_catalog/salesItemDetails.do?id=91400")</f>
        <v>https://www.fabsurplus.com/sdi_catalog/salesItemDetails.do?id=91400</v>
      </c>
      <c r="B1145" s="5" t="s">
        <v>3130</v>
      </c>
      <c r="C1145" s="5" t="s">
        <v>3058</v>
      </c>
      <c r="D1145" s="5" t="s">
        <v>3127</v>
      </c>
      <c r="E1145" s="5" t="s">
        <v>3128</v>
      </c>
      <c r="F1145" s="5" t="s">
        <v>16</v>
      </c>
      <c r="G1145" s="5" t="s">
        <v>17</v>
      </c>
      <c r="H1145" s="5"/>
      <c r="I1145" s="6" t="n">
        <v>39234</v>
      </c>
      <c r="J1145" s="5" t="s">
        <v>19</v>
      </c>
      <c r="K1145" s="5"/>
      <c r="L1145" s="5" t="s">
        <v>112</v>
      </c>
    </row>
    <row r="1146" customFormat="false" ht="13.35" hidden="false" customHeight="true" outlineLevel="0" collapsed="false">
      <c r="A1146" s="2" t="str">
        <f aca="false">HYPERLINK("https://www.fabsurplus.com/sdi_catalog/salesItemDetails.do?id=91401")</f>
        <v>https://www.fabsurplus.com/sdi_catalog/salesItemDetails.do?id=91401</v>
      </c>
      <c r="B1146" s="2" t="s">
        <v>3131</v>
      </c>
      <c r="C1146" s="2" t="s">
        <v>3058</v>
      </c>
      <c r="D1146" s="2" t="s">
        <v>3127</v>
      </c>
      <c r="E1146" s="2" t="s">
        <v>3128</v>
      </c>
      <c r="F1146" s="2" t="s">
        <v>16</v>
      </c>
      <c r="G1146" s="2" t="s">
        <v>17</v>
      </c>
      <c r="H1146" s="2"/>
      <c r="I1146" s="3" t="n">
        <v>39234</v>
      </c>
      <c r="J1146" s="2" t="s">
        <v>19</v>
      </c>
      <c r="K1146" s="2"/>
      <c r="L1146" s="2" t="s">
        <v>112</v>
      </c>
    </row>
    <row r="1147" customFormat="false" ht="13.35" hidden="false" customHeight="true" outlineLevel="0" collapsed="false">
      <c r="A1147" s="5" t="str">
        <f aca="false">HYPERLINK("https://www.fabsurplus.com/sdi_catalog/salesItemDetails.do?id=91402")</f>
        <v>https://www.fabsurplus.com/sdi_catalog/salesItemDetails.do?id=91402</v>
      </c>
      <c r="B1147" s="5" t="s">
        <v>3132</v>
      </c>
      <c r="C1147" s="5" t="s">
        <v>3058</v>
      </c>
      <c r="D1147" s="5" t="s">
        <v>3127</v>
      </c>
      <c r="E1147" s="5" t="s">
        <v>3128</v>
      </c>
      <c r="F1147" s="5" t="s">
        <v>16</v>
      </c>
      <c r="G1147" s="5" t="s">
        <v>17</v>
      </c>
      <c r="H1147" s="5"/>
      <c r="I1147" s="6" t="n">
        <v>39234</v>
      </c>
      <c r="J1147" s="5" t="s">
        <v>19</v>
      </c>
      <c r="K1147" s="5"/>
      <c r="L1147" s="5" t="s">
        <v>112</v>
      </c>
    </row>
    <row r="1148" customFormat="false" ht="13.35" hidden="false" customHeight="true" outlineLevel="0" collapsed="false">
      <c r="A1148" s="5" t="str">
        <f aca="false">HYPERLINK("https://www.fabsurplus.com/sdi_catalog/salesItemDetails.do?id=101716")</f>
        <v>https://www.fabsurplus.com/sdi_catalog/salesItemDetails.do?id=101716</v>
      </c>
      <c r="B1148" s="5" t="s">
        <v>3133</v>
      </c>
      <c r="C1148" s="5" t="s">
        <v>3041</v>
      </c>
      <c r="D1148" s="5" t="s">
        <v>3134</v>
      </c>
      <c r="E1148" s="5" t="s">
        <v>3135</v>
      </c>
      <c r="F1148" s="5" t="s">
        <v>16</v>
      </c>
      <c r="G1148" s="5"/>
      <c r="H1148" s="5"/>
      <c r="I1148" s="5"/>
      <c r="J1148" s="5" t="s">
        <v>47</v>
      </c>
      <c r="K1148" s="5"/>
      <c r="L1148" s="5"/>
    </row>
    <row r="1149" customFormat="false" ht="13.35" hidden="false" customHeight="true" outlineLevel="0" collapsed="false">
      <c r="A1149" s="5" t="str">
        <f aca="false">HYPERLINK("https://www.fabsurplus.com/sdi_catalog/salesItemDetails.do?id=98269")</f>
        <v>https://www.fabsurplus.com/sdi_catalog/salesItemDetails.do?id=98269</v>
      </c>
      <c r="B1149" s="5" t="s">
        <v>3136</v>
      </c>
      <c r="C1149" s="5" t="s">
        <v>3058</v>
      </c>
      <c r="D1149" s="5" t="s">
        <v>3137</v>
      </c>
      <c r="E1149" s="5" t="s">
        <v>1254</v>
      </c>
      <c r="F1149" s="5" t="s">
        <v>16</v>
      </c>
      <c r="G1149" s="5" t="s">
        <v>17</v>
      </c>
      <c r="H1149" s="5"/>
      <c r="I1149" s="6" t="n">
        <v>37773</v>
      </c>
      <c r="J1149" s="5" t="s">
        <v>19</v>
      </c>
      <c r="K1149" s="5"/>
      <c r="L1149" s="5"/>
    </row>
    <row r="1150" customFormat="false" ht="13.35" hidden="false" customHeight="true" outlineLevel="0" collapsed="false">
      <c r="A1150" s="5" t="str">
        <f aca="false">HYPERLINK("https://www.fabsurplus.com/sdi_catalog/salesItemDetails.do?id=98270")</f>
        <v>https://www.fabsurplus.com/sdi_catalog/salesItemDetails.do?id=98270</v>
      </c>
      <c r="B1150" s="5" t="s">
        <v>3138</v>
      </c>
      <c r="C1150" s="5" t="s">
        <v>3058</v>
      </c>
      <c r="D1150" s="5" t="s">
        <v>3137</v>
      </c>
      <c r="E1150" s="5" t="s">
        <v>1254</v>
      </c>
      <c r="F1150" s="5" t="s">
        <v>16</v>
      </c>
      <c r="G1150" s="5" t="s">
        <v>17</v>
      </c>
      <c r="H1150" s="5"/>
      <c r="I1150" s="6" t="n">
        <v>37773</v>
      </c>
      <c r="J1150" s="5" t="s">
        <v>19</v>
      </c>
      <c r="K1150" s="5"/>
      <c r="L1150" s="5"/>
    </row>
    <row r="1151" customFormat="false" ht="13.35" hidden="false" customHeight="true" outlineLevel="0" collapsed="false">
      <c r="A1151" s="5" t="str">
        <f aca="false">HYPERLINK("https://www.fabsurplus.com/sdi_catalog/salesItemDetails.do?id=91006")</f>
        <v>https://www.fabsurplus.com/sdi_catalog/salesItemDetails.do?id=91006</v>
      </c>
      <c r="B1151" s="5" t="s">
        <v>3139</v>
      </c>
      <c r="C1151" s="5" t="s">
        <v>3041</v>
      </c>
      <c r="D1151" s="5" t="s">
        <v>3140</v>
      </c>
      <c r="E1151" s="5" t="s">
        <v>1254</v>
      </c>
      <c r="F1151" s="5" t="s">
        <v>16</v>
      </c>
      <c r="G1151" s="5" t="s">
        <v>663</v>
      </c>
      <c r="H1151" s="5" t="s">
        <v>18</v>
      </c>
      <c r="I1151" s="6" t="n">
        <v>39965</v>
      </c>
      <c r="J1151" s="5" t="s">
        <v>19</v>
      </c>
      <c r="K1151" s="5" t="s">
        <v>20</v>
      </c>
      <c r="L1151" s="7" t="s">
        <v>3141</v>
      </c>
    </row>
    <row r="1152" customFormat="false" ht="13.35" hidden="false" customHeight="true" outlineLevel="0" collapsed="false">
      <c r="A1152" s="2" t="str">
        <f aca="false">HYPERLINK("https://www.fabsurplus.com/sdi_catalog/salesItemDetails.do?id=102228")</f>
        <v>https://www.fabsurplus.com/sdi_catalog/salesItemDetails.do?id=102228</v>
      </c>
      <c r="B1152" s="2" t="s">
        <v>3142</v>
      </c>
      <c r="C1152" s="2" t="s">
        <v>3041</v>
      </c>
      <c r="D1152" s="2" t="s">
        <v>3143</v>
      </c>
      <c r="E1152" s="2" t="s">
        <v>3144</v>
      </c>
      <c r="F1152" s="2" t="s">
        <v>16</v>
      </c>
      <c r="G1152" s="2" t="s">
        <v>17</v>
      </c>
      <c r="H1152" s="2"/>
      <c r="I1152" s="3" t="n">
        <v>38869</v>
      </c>
      <c r="J1152" s="2" t="s">
        <v>19</v>
      </c>
      <c r="K1152" s="2"/>
      <c r="L1152" s="2"/>
    </row>
    <row r="1153" customFormat="false" ht="13.35" hidden="false" customHeight="true" outlineLevel="0" collapsed="false">
      <c r="A1153" s="2" t="str">
        <f aca="false">HYPERLINK("https://www.fabsurplus.com/sdi_catalog/salesItemDetails.do?id=102227")</f>
        <v>https://www.fabsurplus.com/sdi_catalog/salesItemDetails.do?id=102227</v>
      </c>
      <c r="B1153" s="2" t="s">
        <v>3145</v>
      </c>
      <c r="C1153" s="2" t="s">
        <v>3041</v>
      </c>
      <c r="D1153" s="2" t="s">
        <v>3143</v>
      </c>
      <c r="E1153" s="2" t="s">
        <v>3146</v>
      </c>
      <c r="F1153" s="2" t="s">
        <v>16</v>
      </c>
      <c r="G1153" s="2" t="s">
        <v>17</v>
      </c>
      <c r="H1153" s="2"/>
      <c r="I1153" s="3" t="n">
        <v>38504</v>
      </c>
      <c r="J1153" s="2" t="s">
        <v>19</v>
      </c>
      <c r="K1153" s="2"/>
      <c r="L1153" s="2"/>
    </row>
    <row r="1154" customFormat="false" ht="13.35" hidden="false" customHeight="true" outlineLevel="0" collapsed="false">
      <c r="A1154" s="2" t="str">
        <f aca="false">HYPERLINK("https://www.fabsurplus.com/sdi_catalog/salesItemDetails.do?id=102229")</f>
        <v>https://www.fabsurplus.com/sdi_catalog/salesItemDetails.do?id=102229</v>
      </c>
      <c r="B1154" s="2" t="s">
        <v>3147</v>
      </c>
      <c r="C1154" s="2" t="s">
        <v>3041</v>
      </c>
      <c r="D1154" s="2" t="s">
        <v>3143</v>
      </c>
      <c r="E1154" s="2" t="s">
        <v>3146</v>
      </c>
      <c r="F1154" s="2" t="s">
        <v>16</v>
      </c>
      <c r="G1154" s="2" t="s">
        <v>17</v>
      </c>
      <c r="H1154" s="2"/>
      <c r="I1154" s="3" t="n">
        <v>38869</v>
      </c>
      <c r="J1154" s="2" t="s">
        <v>19</v>
      </c>
      <c r="K1154" s="2"/>
      <c r="L1154" s="2"/>
    </row>
    <row r="1155" customFormat="false" ht="13.35" hidden="false" customHeight="true" outlineLevel="0" collapsed="false">
      <c r="A1155" s="5" t="str">
        <f aca="false">HYPERLINK("https://www.fabsurplus.com/sdi_catalog/salesItemDetails.do?id=102230")</f>
        <v>https://www.fabsurplus.com/sdi_catalog/salesItemDetails.do?id=102230</v>
      </c>
      <c r="B1155" s="5" t="s">
        <v>3148</v>
      </c>
      <c r="C1155" s="5" t="s">
        <v>3041</v>
      </c>
      <c r="D1155" s="5" t="s">
        <v>3143</v>
      </c>
      <c r="E1155" s="5" t="s">
        <v>3146</v>
      </c>
      <c r="F1155" s="5" t="s">
        <v>16</v>
      </c>
      <c r="G1155" s="5" t="s">
        <v>17</v>
      </c>
      <c r="H1155" s="5"/>
      <c r="I1155" s="6" t="n">
        <v>39234</v>
      </c>
      <c r="J1155" s="5" t="s">
        <v>19</v>
      </c>
      <c r="K1155" s="5"/>
      <c r="L1155" s="5"/>
    </row>
    <row r="1156" customFormat="false" ht="13.35" hidden="false" customHeight="true" outlineLevel="0" collapsed="false">
      <c r="A1156" s="2" t="str">
        <f aca="false">HYPERLINK("https://www.fabsurplus.com/sdi_catalog/salesItemDetails.do?id=102231")</f>
        <v>https://www.fabsurplus.com/sdi_catalog/salesItemDetails.do?id=102231</v>
      </c>
      <c r="B1156" s="2" t="s">
        <v>3149</v>
      </c>
      <c r="C1156" s="2" t="s">
        <v>3041</v>
      </c>
      <c r="D1156" s="2" t="s">
        <v>3143</v>
      </c>
      <c r="E1156" s="2" t="s">
        <v>3146</v>
      </c>
      <c r="F1156" s="2" t="s">
        <v>16</v>
      </c>
      <c r="G1156" s="2" t="s">
        <v>17</v>
      </c>
      <c r="H1156" s="2"/>
      <c r="I1156" s="3" t="n">
        <v>39234</v>
      </c>
      <c r="J1156" s="2" t="s">
        <v>19</v>
      </c>
      <c r="K1156" s="2"/>
      <c r="L1156" s="2"/>
    </row>
    <row r="1157" customFormat="false" ht="13.35" hidden="false" customHeight="true" outlineLevel="0" collapsed="false">
      <c r="A1157" s="5" t="str">
        <f aca="false">HYPERLINK("https://www.fabsurplus.com/sdi_catalog/salesItemDetails.do?id=102232")</f>
        <v>https://www.fabsurplus.com/sdi_catalog/salesItemDetails.do?id=102232</v>
      </c>
      <c r="B1157" s="5" t="s">
        <v>3150</v>
      </c>
      <c r="C1157" s="5" t="s">
        <v>3041</v>
      </c>
      <c r="D1157" s="5" t="s">
        <v>3143</v>
      </c>
      <c r="E1157" s="5" t="s">
        <v>3146</v>
      </c>
      <c r="F1157" s="5" t="s">
        <v>16</v>
      </c>
      <c r="G1157" s="5" t="s">
        <v>17</v>
      </c>
      <c r="H1157" s="5"/>
      <c r="I1157" s="6" t="n">
        <v>39234</v>
      </c>
      <c r="J1157" s="5" t="s">
        <v>19</v>
      </c>
      <c r="K1157" s="5"/>
      <c r="L1157" s="5"/>
    </row>
    <row r="1158" customFormat="false" ht="13.35" hidden="false" customHeight="true" outlineLevel="0" collapsed="false">
      <c r="A1158" s="5" t="str">
        <f aca="false">HYPERLINK("https://www.fabsurplus.com/sdi_catalog/salesItemDetails.do?id=102234")</f>
        <v>https://www.fabsurplus.com/sdi_catalog/salesItemDetails.do?id=102234</v>
      </c>
      <c r="B1158" s="5" t="s">
        <v>3151</v>
      </c>
      <c r="C1158" s="5" t="s">
        <v>3041</v>
      </c>
      <c r="D1158" s="5" t="s">
        <v>3152</v>
      </c>
      <c r="E1158" s="5" t="s">
        <v>3153</v>
      </c>
      <c r="F1158" s="5" t="s">
        <v>16</v>
      </c>
      <c r="G1158" s="5"/>
      <c r="H1158" s="5"/>
      <c r="I1158" s="6" t="n">
        <v>35582</v>
      </c>
      <c r="J1158" s="5" t="s">
        <v>19</v>
      </c>
      <c r="K1158" s="5"/>
      <c r="L1158" s="5"/>
    </row>
    <row r="1159" customFormat="false" ht="13.35" hidden="false" customHeight="true" outlineLevel="0" collapsed="false">
      <c r="A1159" s="5" t="str">
        <f aca="false">HYPERLINK("https://www.fabsurplus.com/sdi_catalog/salesItemDetails.do?id=101717")</f>
        <v>https://www.fabsurplus.com/sdi_catalog/salesItemDetails.do?id=101717</v>
      </c>
      <c r="B1159" s="5" t="s">
        <v>3154</v>
      </c>
      <c r="C1159" s="5" t="s">
        <v>3041</v>
      </c>
      <c r="D1159" s="5" t="s">
        <v>3155</v>
      </c>
      <c r="E1159" s="5" t="s">
        <v>3135</v>
      </c>
      <c r="F1159" s="5" t="s">
        <v>16</v>
      </c>
      <c r="G1159" s="5"/>
      <c r="H1159" s="5"/>
      <c r="I1159" s="5"/>
      <c r="J1159" s="5" t="s">
        <v>47</v>
      </c>
      <c r="K1159" s="5"/>
      <c r="L1159" s="5"/>
    </row>
    <row r="1160" customFormat="false" ht="13.35" hidden="false" customHeight="true" outlineLevel="0" collapsed="false">
      <c r="A1160" s="2" t="str">
        <f aca="false">HYPERLINK("https://www.fabsurplus.com/sdi_catalog/salesItemDetails.do?id=102966")</f>
        <v>https://www.fabsurplus.com/sdi_catalog/salesItemDetails.do?id=102966</v>
      </c>
      <c r="B1160" s="2" t="s">
        <v>3156</v>
      </c>
      <c r="C1160" s="2" t="s">
        <v>3058</v>
      </c>
      <c r="D1160" s="2" t="s">
        <v>3157</v>
      </c>
      <c r="E1160" s="2" t="s">
        <v>3158</v>
      </c>
      <c r="F1160" s="2" t="s">
        <v>16</v>
      </c>
      <c r="G1160" s="2" t="s">
        <v>1807</v>
      </c>
      <c r="H1160" s="2"/>
      <c r="I1160" s="3" t="n">
        <v>38869</v>
      </c>
      <c r="J1160" s="2" t="s">
        <v>19</v>
      </c>
      <c r="K1160" s="2"/>
      <c r="L1160" s="2"/>
    </row>
    <row r="1161" customFormat="false" ht="13.35" hidden="false" customHeight="true" outlineLevel="0" collapsed="false">
      <c r="A1161" s="2" t="str">
        <f aca="false">HYPERLINK("https://www.fabsurplus.com/sdi_catalog/salesItemDetails.do?id=101718")</f>
        <v>https://www.fabsurplus.com/sdi_catalog/salesItemDetails.do?id=101718</v>
      </c>
      <c r="B1161" s="2" t="s">
        <v>3159</v>
      </c>
      <c r="C1161" s="2" t="s">
        <v>3041</v>
      </c>
      <c r="D1161" s="2" t="s">
        <v>3160</v>
      </c>
      <c r="E1161" s="2" t="s">
        <v>3135</v>
      </c>
      <c r="F1161" s="2" t="s">
        <v>16</v>
      </c>
      <c r="G1161" s="2"/>
      <c r="H1161" s="2"/>
      <c r="I1161" s="2"/>
      <c r="J1161" s="2" t="s">
        <v>47</v>
      </c>
      <c r="K1161" s="2"/>
      <c r="L1161" s="2"/>
    </row>
    <row r="1162" customFormat="false" ht="13.35" hidden="false" customHeight="true" outlineLevel="0" collapsed="false">
      <c r="A1162" s="2" t="str">
        <f aca="false">HYPERLINK("https://www.fabsurplus.com/sdi_catalog/salesItemDetails.do?id=91403")</f>
        <v>https://www.fabsurplus.com/sdi_catalog/salesItemDetails.do?id=91403</v>
      </c>
      <c r="B1162" s="2" t="s">
        <v>3161</v>
      </c>
      <c r="C1162" s="2" t="s">
        <v>3058</v>
      </c>
      <c r="D1162" s="2" t="s">
        <v>3162</v>
      </c>
      <c r="E1162" s="2" t="s">
        <v>3135</v>
      </c>
      <c r="F1162" s="2" t="s">
        <v>16</v>
      </c>
      <c r="G1162" s="2" t="s">
        <v>3163</v>
      </c>
      <c r="H1162" s="2"/>
      <c r="I1162" s="2"/>
      <c r="J1162" s="2" t="s">
        <v>19</v>
      </c>
      <c r="K1162" s="2"/>
      <c r="L1162" s="2" t="s">
        <v>112</v>
      </c>
    </row>
    <row r="1163" customFormat="false" ht="13.35" hidden="false" customHeight="true" outlineLevel="0" collapsed="false">
      <c r="A1163" s="2" t="str">
        <f aca="false">HYPERLINK("https://www.fabsurplus.com/sdi_catalog/salesItemDetails.do?id=91404")</f>
        <v>https://www.fabsurplus.com/sdi_catalog/salesItemDetails.do?id=91404</v>
      </c>
      <c r="B1163" s="2" t="s">
        <v>3164</v>
      </c>
      <c r="C1163" s="2" t="s">
        <v>3058</v>
      </c>
      <c r="D1163" s="2" t="s">
        <v>3162</v>
      </c>
      <c r="E1163" s="2" t="s">
        <v>3135</v>
      </c>
      <c r="F1163" s="2" t="s">
        <v>16</v>
      </c>
      <c r="G1163" s="2" t="s">
        <v>3163</v>
      </c>
      <c r="H1163" s="2"/>
      <c r="I1163" s="2"/>
      <c r="J1163" s="2" t="s">
        <v>19</v>
      </c>
      <c r="K1163" s="2"/>
      <c r="L1163" s="2" t="s">
        <v>112</v>
      </c>
    </row>
    <row r="1164" customFormat="false" ht="13.35" hidden="false" customHeight="true" outlineLevel="0" collapsed="false">
      <c r="A1164" s="5" t="str">
        <f aca="false">HYPERLINK("https://www.fabsurplus.com/sdi_catalog/salesItemDetails.do?id=91405")</f>
        <v>https://www.fabsurplus.com/sdi_catalog/salesItemDetails.do?id=91405</v>
      </c>
      <c r="B1164" s="5" t="s">
        <v>3165</v>
      </c>
      <c r="C1164" s="5" t="s">
        <v>3058</v>
      </c>
      <c r="D1164" s="5" t="s">
        <v>3162</v>
      </c>
      <c r="E1164" s="5" t="s">
        <v>3135</v>
      </c>
      <c r="F1164" s="5" t="s">
        <v>16</v>
      </c>
      <c r="G1164" s="5" t="s">
        <v>3163</v>
      </c>
      <c r="H1164" s="5"/>
      <c r="I1164" s="5"/>
      <c r="J1164" s="5" t="s">
        <v>19</v>
      </c>
      <c r="K1164" s="5"/>
      <c r="L1164" s="5" t="s">
        <v>112</v>
      </c>
    </row>
    <row r="1165" customFormat="false" ht="13.35" hidden="false" customHeight="true" outlineLevel="0" collapsed="false">
      <c r="A1165" s="2" t="str">
        <f aca="false">HYPERLINK("https://www.fabsurplus.com/sdi_catalog/salesItemDetails.do?id=91407")</f>
        <v>https://www.fabsurplus.com/sdi_catalog/salesItemDetails.do?id=91407</v>
      </c>
      <c r="B1165" s="2" t="s">
        <v>3166</v>
      </c>
      <c r="C1165" s="2" t="s">
        <v>3058</v>
      </c>
      <c r="D1165" s="2" t="s">
        <v>3162</v>
      </c>
      <c r="E1165" s="2" t="s">
        <v>3135</v>
      </c>
      <c r="F1165" s="2" t="s">
        <v>16</v>
      </c>
      <c r="G1165" s="2" t="s">
        <v>3163</v>
      </c>
      <c r="H1165" s="2"/>
      <c r="I1165" s="2"/>
      <c r="J1165" s="2" t="s">
        <v>19</v>
      </c>
      <c r="K1165" s="2"/>
      <c r="L1165" s="2" t="s">
        <v>112</v>
      </c>
    </row>
    <row r="1166" customFormat="false" ht="13.35" hidden="false" customHeight="true" outlineLevel="0" collapsed="false">
      <c r="A1166" s="5" t="str">
        <f aca="false">HYPERLINK("https://www.fabsurplus.com/sdi_catalog/salesItemDetails.do?id=91408")</f>
        <v>https://www.fabsurplus.com/sdi_catalog/salesItemDetails.do?id=91408</v>
      </c>
      <c r="B1166" s="5" t="s">
        <v>3167</v>
      </c>
      <c r="C1166" s="5" t="s">
        <v>3058</v>
      </c>
      <c r="D1166" s="5" t="s">
        <v>3162</v>
      </c>
      <c r="E1166" s="5" t="s">
        <v>3135</v>
      </c>
      <c r="F1166" s="5" t="s">
        <v>16</v>
      </c>
      <c r="G1166" s="5" t="s">
        <v>3163</v>
      </c>
      <c r="H1166" s="5"/>
      <c r="I1166" s="5"/>
      <c r="J1166" s="5" t="s">
        <v>19</v>
      </c>
      <c r="K1166" s="5"/>
      <c r="L1166" s="5" t="s">
        <v>112</v>
      </c>
    </row>
    <row r="1167" customFormat="false" ht="13.35" hidden="false" customHeight="true" outlineLevel="0" collapsed="false">
      <c r="A1167" s="2" t="str">
        <f aca="false">HYPERLINK("https://www.fabsurplus.com/sdi_catalog/salesItemDetails.do?id=102236")</f>
        <v>https://www.fabsurplus.com/sdi_catalog/salesItemDetails.do?id=102236</v>
      </c>
      <c r="B1167" s="2" t="s">
        <v>3168</v>
      </c>
      <c r="C1167" s="2" t="s">
        <v>3041</v>
      </c>
      <c r="D1167" s="2" t="s">
        <v>3169</v>
      </c>
      <c r="E1167" s="2" t="s">
        <v>3170</v>
      </c>
      <c r="F1167" s="2" t="s">
        <v>16</v>
      </c>
      <c r="G1167" s="2"/>
      <c r="H1167" s="2"/>
      <c r="I1167" s="3" t="n">
        <v>38139</v>
      </c>
      <c r="J1167" s="2" t="s">
        <v>19</v>
      </c>
      <c r="K1167" s="2"/>
      <c r="L1167" s="2"/>
    </row>
    <row r="1168" customFormat="false" ht="13.35" hidden="false" customHeight="true" outlineLevel="0" collapsed="false">
      <c r="A1168" s="5" t="str">
        <f aca="false">HYPERLINK("https://www.fabsurplus.com/sdi_catalog/salesItemDetails.do?id=94459")</f>
        <v>https://www.fabsurplus.com/sdi_catalog/salesItemDetails.do?id=94459</v>
      </c>
      <c r="B1168" s="5" t="s">
        <v>3171</v>
      </c>
      <c r="C1168" s="5" t="s">
        <v>3058</v>
      </c>
      <c r="D1168" s="5" t="s">
        <v>3172</v>
      </c>
      <c r="E1168" s="5" t="s">
        <v>3110</v>
      </c>
      <c r="F1168" s="5" t="s">
        <v>16</v>
      </c>
      <c r="G1168" s="5" t="s">
        <v>3163</v>
      </c>
      <c r="H1168" s="5"/>
      <c r="I1168" s="6" t="n">
        <v>35217</v>
      </c>
      <c r="J1168" s="5" t="s">
        <v>19</v>
      </c>
      <c r="K1168" s="5"/>
      <c r="L1168" s="5"/>
    </row>
    <row r="1169" customFormat="false" ht="13.35" hidden="false" customHeight="true" outlineLevel="0" collapsed="false">
      <c r="A1169" s="2" t="str">
        <f aca="false">HYPERLINK("https://www.fabsurplus.com/sdi_catalog/salesItemDetails.do?id=94460")</f>
        <v>https://www.fabsurplus.com/sdi_catalog/salesItemDetails.do?id=94460</v>
      </c>
      <c r="B1169" s="2" t="s">
        <v>3173</v>
      </c>
      <c r="C1169" s="2" t="s">
        <v>3058</v>
      </c>
      <c r="D1169" s="2" t="s">
        <v>3174</v>
      </c>
      <c r="E1169" s="2" t="s">
        <v>3110</v>
      </c>
      <c r="F1169" s="2" t="s">
        <v>16</v>
      </c>
      <c r="G1169" s="2" t="s">
        <v>3163</v>
      </c>
      <c r="H1169" s="2"/>
      <c r="I1169" s="3" t="n">
        <v>35582</v>
      </c>
      <c r="J1169" s="2" t="s">
        <v>19</v>
      </c>
      <c r="K1169" s="2"/>
      <c r="L1169" s="2"/>
    </row>
    <row r="1170" customFormat="false" ht="13.35" hidden="false" customHeight="true" outlineLevel="0" collapsed="false">
      <c r="A1170" s="2" t="str">
        <f aca="false">HYPERLINK("https://www.fabsurplus.com/sdi_catalog/salesItemDetails.do?id=103090")</f>
        <v>https://www.fabsurplus.com/sdi_catalog/salesItemDetails.do?id=103090</v>
      </c>
      <c r="B1170" s="2" t="s">
        <v>3175</v>
      </c>
      <c r="C1170" s="2" t="s">
        <v>3041</v>
      </c>
      <c r="D1170" s="2" t="s">
        <v>3176</v>
      </c>
      <c r="E1170" s="2" t="s">
        <v>3177</v>
      </c>
      <c r="F1170" s="2" t="s">
        <v>16</v>
      </c>
      <c r="G1170" s="2" t="s">
        <v>658</v>
      </c>
      <c r="H1170" s="2"/>
      <c r="I1170" s="3" t="n">
        <v>37773</v>
      </c>
      <c r="J1170" s="2" t="s">
        <v>19</v>
      </c>
      <c r="K1170" s="2"/>
      <c r="L1170" s="2" t="s">
        <v>3178</v>
      </c>
    </row>
    <row r="1171" customFormat="false" ht="13.35" hidden="false" customHeight="true" outlineLevel="0" collapsed="false">
      <c r="A1171" s="5" t="str">
        <f aca="false">HYPERLINK("https://www.fabsurplus.com/sdi_catalog/salesItemDetails.do?id=103091")</f>
        <v>https://www.fabsurplus.com/sdi_catalog/salesItemDetails.do?id=103091</v>
      </c>
      <c r="B1171" s="5" t="s">
        <v>3179</v>
      </c>
      <c r="C1171" s="5" t="s">
        <v>3041</v>
      </c>
      <c r="D1171" s="5" t="s">
        <v>3176</v>
      </c>
      <c r="E1171" s="5" t="s">
        <v>3177</v>
      </c>
      <c r="F1171" s="5" t="s">
        <v>16</v>
      </c>
      <c r="G1171" s="5" t="s">
        <v>658</v>
      </c>
      <c r="H1171" s="5"/>
      <c r="I1171" s="6" t="n">
        <v>37773</v>
      </c>
      <c r="J1171" s="5" t="s">
        <v>19</v>
      </c>
      <c r="K1171" s="5"/>
      <c r="L1171" s="5" t="s">
        <v>3178</v>
      </c>
    </row>
    <row r="1172" customFormat="false" ht="13.35" hidden="false" customHeight="true" outlineLevel="0" collapsed="false">
      <c r="A1172" s="5" t="str">
        <f aca="false">HYPERLINK("https://www.fabsurplus.com/sdi_catalog/salesItemDetails.do?id=102237")</f>
        <v>https://www.fabsurplus.com/sdi_catalog/salesItemDetails.do?id=102237</v>
      </c>
      <c r="B1172" s="5" t="s">
        <v>3180</v>
      </c>
      <c r="C1172" s="5" t="s">
        <v>3041</v>
      </c>
      <c r="D1172" s="5" t="s">
        <v>3181</v>
      </c>
      <c r="E1172" s="5" t="s">
        <v>3182</v>
      </c>
      <c r="F1172" s="5" t="s">
        <v>16</v>
      </c>
      <c r="G1172" s="5" t="s">
        <v>17</v>
      </c>
      <c r="H1172" s="5"/>
      <c r="I1172" s="5"/>
      <c r="J1172" s="5" t="s">
        <v>19</v>
      </c>
      <c r="K1172" s="5"/>
      <c r="L1172" s="5"/>
    </row>
    <row r="1173" customFormat="false" ht="13.35" hidden="false" customHeight="true" outlineLevel="0" collapsed="false">
      <c r="A1173" s="2" t="str">
        <f aca="false">HYPERLINK("https://www.fabsurplus.com/sdi_catalog/salesItemDetails.do?id=98273")</f>
        <v>https://www.fabsurplus.com/sdi_catalog/salesItemDetails.do?id=98273</v>
      </c>
      <c r="B1173" s="2" t="s">
        <v>3183</v>
      </c>
      <c r="C1173" s="2" t="s">
        <v>3058</v>
      </c>
      <c r="D1173" s="2" t="s">
        <v>3184</v>
      </c>
      <c r="E1173" s="2" t="s">
        <v>3135</v>
      </c>
      <c r="F1173" s="2" t="s">
        <v>16</v>
      </c>
      <c r="G1173" s="2"/>
      <c r="H1173" s="2"/>
      <c r="I1173" s="2"/>
      <c r="J1173" s="2" t="s">
        <v>19</v>
      </c>
      <c r="K1173" s="2"/>
      <c r="L1173" s="2"/>
    </row>
    <row r="1174" customFormat="false" ht="13.35" hidden="false" customHeight="true" outlineLevel="0" collapsed="false">
      <c r="A1174" s="5" t="str">
        <f aca="false">HYPERLINK("https://www.fabsurplus.com/sdi_catalog/salesItemDetails.do?id=98272")</f>
        <v>https://www.fabsurplus.com/sdi_catalog/salesItemDetails.do?id=98272</v>
      </c>
      <c r="B1174" s="5" t="s">
        <v>3185</v>
      </c>
      <c r="C1174" s="5" t="s">
        <v>3058</v>
      </c>
      <c r="D1174" s="5" t="s">
        <v>3186</v>
      </c>
      <c r="E1174" s="5" t="s">
        <v>3153</v>
      </c>
      <c r="F1174" s="5" t="s">
        <v>16</v>
      </c>
      <c r="G1174" s="5" t="s">
        <v>17</v>
      </c>
      <c r="H1174" s="5"/>
      <c r="I1174" s="6" t="n">
        <v>37043</v>
      </c>
      <c r="J1174" s="5" t="s">
        <v>19</v>
      </c>
      <c r="K1174" s="5"/>
      <c r="L1174" s="5"/>
    </row>
    <row r="1175" customFormat="false" ht="13.35" hidden="false" customHeight="true" outlineLevel="0" collapsed="false">
      <c r="A1175" s="5" t="str">
        <f aca="false">HYPERLINK("https://www.fabsurplus.com/sdi_catalog/salesItemDetails.do?id=91848")</f>
        <v>https://www.fabsurplus.com/sdi_catalog/salesItemDetails.do?id=91848</v>
      </c>
      <c r="B1175" s="5" t="s">
        <v>3187</v>
      </c>
      <c r="C1175" s="5" t="s">
        <v>3058</v>
      </c>
      <c r="D1175" s="5" t="s">
        <v>3188</v>
      </c>
      <c r="E1175" s="5" t="s">
        <v>3110</v>
      </c>
      <c r="F1175" s="5" t="s">
        <v>16</v>
      </c>
      <c r="G1175" s="5" t="s">
        <v>402</v>
      </c>
      <c r="H1175" s="5" t="s">
        <v>18</v>
      </c>
      <c r="I1175" s="6" t="n">
        <v>32660</v>
      </c>
      <c r="J1175" s="5" t="s">
        <v>19</v>
      </c>
      <c r="K1175" s="5" t="s">
        <v>20</v>
      </c>
      <c r="L1175" s="7" t="s">
        <v>3189</v>
      </c>
    </row>
    <row r="1176" customFormat="false" ht="13.35" hidden="false" customHeight="true" outlineLevel="0" collapsed="false">
      <c r="A1176" s="2" t="str">
        <f aca="false">HYPERLINK("https://www.fabsurplus.com/sdi_catalog/salesItemDetails.do?id=91411")</f>
        <v>https://www.fabsurplus.com/sdi_catalog/salesItemDetails.do?id=91411</v>
      </c>
      <c r="B1176" s="2" t="s">
        <v>3190</v>
      </c>
      <c r="C1176" s="2" t="s">
        <v>3058</v>
      </c>
      <c r="D1176" s="2" t="s">
        <v>3191</v>
      </c>
      <c r="E1176" s="2" t="s">
        <v>3110</v>
      </c>
      <c r="F1176" s="2" t="s">
        <v>16</v>
      </c>
      <c r="G1176" s="2" t="s">
        <v>36</v>
      </c>
      <c r="H1176" s="2" t="s">
        <v>18</v>
      </c>
      <c r="I1176" s="3" t="n">
        <v>37742</v>
      </c>
      <c r="J1176" s="2" t="s">
        <v>19</v>
      </c>
      <c r="K1176" s="2" t="s">
        <v>20</v>
      </c>
      <c r="L1176" s="4" t="s">
        <v>3192</v>
      </c>
    </row>
    <row r="1177" customFormat="false" ht="13.35" hidden="false" customHeight="true" outlineLevel="0" collapsed="false">
      <c r="A1177" s="2" t="str">
        <f aca="false">HYPERLINK("https://www.fabsurplus.com/sdi_catalog/salesItemDetails.do?id=92027")</f>
        <v>https://www.fabsurplus.com/sdi_catalog/salesItemDetails.do?id=92027</v>
      </c>
      <c r="B1177" s="2" t="s">
        <v>3193</v>
      </c>
      <c r="C1177" s="2" t="s">
        <v>3058</v>
      </c>
      <c r="D1177" s="2" t="s">
        <v>3194</v>
      </c>
      <c r="E1177" s="2" t="s">
        <v>3110</v>
      </c>
      <c r="F1177" s="2" t="s">
        <v>58</v>
      </c>
      <c r="G1177" s="2" t="s">
        <v>3195</v>
      </c>
      <c r="H1177" s="2" t="s">
        <v>18</v>
      </c>
      <c r="I1177" s="3" t="n">
        <v>37043</v>
      </c>
      <c r="J1177" s="2" t="s">
        <v>19</v>
      </c>
      <c r="K1177" s="2" t="s">
        <v>20</v>
      </c>
      <c r="L1177" s="4" t="s">
        <v>3196</v>
      </c>
    </row>
    <row r="1178" customFormat="false" ht="13.35" hidden="false" customHeight="true" outlineLevel="0" collapsed="false">
      <c r="A1178" s="5" t="str">
        <f aca="false">HYPERLINK("https://www.fabsurplus.com/sdi_catalog/salesItemDetails.do?id=93085")</f>
        <v>https://www.fabsurplus.com/sdi_catalog/salesItemDetails.do?id=93085</v>
      </c>
      <c r="B1178" s="5" t="s">
        <v>3197</v>
      </c>
      <c r="C1178" s="5" t="s">
        <v>3058</v>
      </c>
      <c r="D1178" s="5" t="s">
        <v>3198</v>
      </c>
      <c r="E1178" s="5" t="s">
        <v>3110</v>
      </c>
      <c r="F1178" s="5" t="s">
        <v>16</v>
      </c>
      <c r="G1178" s="5" t="s">
        <v>17</v>
      </c>
      <c r="H1178" s="5" t="s">
        <v>26</v>
      </c>
      <c r="I1178" s="6" t="n">
        <v>38139</v>
      </c>
      <c r="J1178" s="5" t="s">
        <v>19</v>
      </c>
      <c r="K1178" s="5" t="s">
        <v>20</v>
      </c>
      <c r="L1178" s="5" t="s">
        <v>112</v>
      </c>
    </row>
    <row r="1179" customFormat="false" ht="13.35" hidden="false" customHeight="true" outlineLevel="0" collapsed="false">
      <c r="A1179" s="2" t="str">
        <f aca="false">HYPERLINK("https://www.fabsurplus.com/sdi_catalog/salesItemDetails.do?id=96377")</f>
        <v>https://www.fabsurplus.com/sdi_catalog/salesItemDetails.do?id=96377</v>
      </c>
      <c r="B1179" s="2" t="s">
        <v>3199</v>
      </c>
      <c r="C1179" s="2" t="s">
        <v>3041</v>
      </c>
      <c r="D1179" s="2" t="s">
        <v>3198</v>
      </c>
      <c r="E1179" s="2" t="s">
        <v>3110</v>
      </c>
      <c r="F1179" s="2" t="s">
        <v>16</v>
      </c>
      <c r="G1179" s="2" t="s">
        <v>17</v>
      </c>
      <c r="H1179" s="2" t="s">
        <v>26</v>
      </c>
      <c r="I1179" s="3" t="n">
        <v>38869</v>
      </c>
      <c r="J1179" s="2" t="s">
        <v>19</v>
      </c>
      <c r="K1179" s="2" t="s">
        <v>20</v>
      </c>
      <c r="L1179" s="4" t="s">
        <v>3200</v>
      </c>
    </row>
    <row r="1180" customFormat="false" ht="13.35" hidden="false" customHeight="true" outlineLevel="0" collapsed="false">
      <c r="A1180" s="5" t="str">
        <f aca="false">HYPERLINK("https://www.fabsurplus.com/sdi_catalog/salesItemDetails.do?id=98275")</f>
        <v>https://www.fabsurplus.com/sdi_catalog/salesItemDetails.do?id=98275</v>
      </c>
      <c r="B1180" s="5" t="s">
        <v>3201</v>
      </c>
      <c r="C1180" s="5" t="s">
        <v>3058</v>
      </c>
      <c r="D1180" s="5" t="s">
        <v>3198</v>
      </c>
      <c r="E1180" s="5" t="s">
        <v>3110</v>
      </c>
      <c r="F1180" s="5" t="s">
        <v>16</v>
      </c>
      <c r="G1180" s="5" t="s">
        <v>17</v>
      </c>
      <c r="H1180" s="5"/>
      <c r="I1180" s="6" t="n">
        <v>41426</v>
      </c>
      <c r="J1180" s="5" t="s">
        <v>19</v>
      </c>
      <c r="K1180" s="5"/>
      <c r="L1180" s="5"/>
    </row>
    <row r="1181" customFormat="false" ht="13.35" hidden="false" customHeight="true" outlineLevel="0" collapsed="false">
      <c r="A1181" s="5" t="str">
        <f aca="false">HYPERLINK("https://www.fabsurplus.com/sdi_catalog/salesItemDetails.do?id=98813")</f>
        <v>https://www.fabsurplus.com/sdi_catalog/salesItemDetails.do?id=98813</v>
      </c>
      <c r="B1181" s="5" t="s">
        <v>3202</v>
      </c>
      <c r="C1181" s="5" t="s">
        <v>3058</v>
      </c>
      <c r="D1181" s="5" t="s">
        <v>3203</v>
      </c>
      <c r="E1181" s="5" t="s">
        <v>3110</v>
      </c>
      <c r="F1181" s="5" t="s">
        <v>16</v>
      </c>
      <c r="G1181" s="5" t="s">
        <v>17</v>
      </c>
      <c r="H1181" s="5"/>
      <c r="I1181" s="6" t="n">
        <v>39114</v>
      </c>
      <c r="J1181" s="5" t="s">
        <v>19</v>
      </c>
      <c r="K1181" s="5"/>
      <c r="L1181" s="7" t="s">
        <v>654</v>
      </c>
    </row>
    <row r="1182" customFormat="false" ht="13.35" hidden="false" customHeight="true" outlineLevel="0" collapsed="false">
      <c r="A1182" s="5" t="str">
        <f aca="false">HYPERLINK("https://www.fabsurplus.com/sdi_catalog/salesItemDetails.do?id=102967")</f>
        <v>https://www.fabsurplus.com/sdi_catalog/salesItemDetails.do?id=102967</v>
      </c>
      <c r="B1182" s="5" t="s">
        <v>3204</v>
      </c>
      <c r="C1182" s="5" t="s">
        <v>3058</v>
      </c>
      <c r="D1182" s="5" t="s">
        <v>3205</v>
      </c>
      <c r="E1182" s="5" t="s">
        <v>1357</v>
      </c>
      <c r="F1182" s="5" t="s">
        <v>3206</v>
      </c>
      <c r="G1182" s="5" t="s">
        <v>499</v>
      </c>
      <c r="H1182" s="5"/>
      <c r="I1182" s="6" t="n">
        <v>38504</v>
      </c>
      <c r="J1182" s="5" t="s">
        <v>19</v>
      </c>
      <c r="K1182" s="5"/>
      <c r="L1182" s="5"/>
    </row>
    <row r="1183" customFormat="false" ht="13.35" hidden="false" customHeight="true" outlineLevel="0" collapsed="false">
      <c r="A1183" s="2" t="str">
        <f aca="false">HYPERLINK("https://www.fabsurplus.com/sdi_catalog/salesItemDetails.do?id=102493")</f>
        <v>https://www.fabsurplus.com/sdi_catalog/salesItemDetails.do?id=102493</v>
      </c>
      <c r="B1183" s="2" t="s">
        <v>3207</v>
      </c>
      <c r="C1183" s="2" t="s">
        <v>3041</v>
      </c>
      <c r="D1183" s="2" t="s">
        <v>1256</v>
      </c>
      <c r="E1183" s="2"/>
      <c r="F1183" s="2" t="s">
        <v>3208</v>
      </c>
      <c r="G1183" s="2" t="s">
        <v>154</v>
      </c>
      <c r="H1183" s="2" t="s">
        <v>592</v>
      </c>
      <c r="I1183" s="2"/>
      <c r="J1183" s="2" t="s">
        <v>47</v>
      </c>
      <c r="K1183" s="2" t="s">
        <v>20</v>
      </c>
      <c r="L1183" s="4" t="s">
        <v>3209</v>
      </c>
    </row>
    <row r="1184" customFormat="false" ht="13.35" hidden="false" customHeight="true" outlineLevel="0" collapsed="false">
      <c r="A1184" s="5" t="str">
        <f aca="false">HYPERLINK("https://www.fabsurplus.com/sdi_catalog/salesItemDetails.do?id=97043")</f>
        <v>https://www.fabsurplus.com/sdi_catalog/salesItemDetails.do?id=97043</v>
      </c>
      <c r="B1184" s="5" t="s">
        <v>3210</v>
      </c>
      <c r="C1184" s="5" t="s">
        <v>3041</v>
      </c>
      <c r="D1184" s="5" t="s">
        <v>3211</v>
      </c>
      <c r="E1184" s="5" t="s">
        <v>3212</v>
      </c>
      <c r="F1184" s="5" t="s">
        <v>16</v>
      </c>
      <c r="G1184" s="5" t="s">
        <v>1091</v>
      </c>
      <c r="H1184" s="5" t="s">
        <v>18</v>
      </c>
      <c r="I1184" s="6" t="n">
        <v>41791</v>
      </c>
      <c r="J1184" s="5" t="s">
        <v>19</v>
      </c>
      <c r="K1184" s="5" t="s">
        <v>20</v>
      </c>
      <c r="L1184" s="7" t="s">
        <v>3213</v>
      </c>
    </row>
    <row r="1185" customFormat="false" ht="13.35" hidden="false" customHeight="true" outlineLevel="0" collapsed="false">
      <c r="A1185" s="5" t="str">
        <f aca="false">HYPERLINK("https://www.fabsurplus.com/sdi_catalog/salesItemDetails.do?id=101719")</f>
        <v>https://www.fabsurplus.com/sdi_catalog/salesItemDetails.do?id=101719</v>
      </c>
      <c r="B1185" s="5" t="s">
        <v>3214</v>
      </c>
      <c r="C1185" s="5" t="s">
        <v>3041</v>
      </c>
      <c r="D1185" s="5" t="s">
        <v>3215</v>
      </c>
      <c r="E1185" s="5" t="s">
        <v>3050</v>
      </c>
      <c r="F1185" s="5" t="s">
        <v>16</v>
      </c>
      <c r="G1185" s="5"/>
      <c r="H1185" s="5"/>
      <c r="I1185" s="5"/>
      <c r="J1185" s="5" t="s">
        <v>47</v>
      </c>
      <c r="K1185" s="5"/>
      <c r="L1185" s="5"/>
    </row>
    <row r="1186" customFormat="false" ht="13.35" hidden="false" customHeight="true" outlineLevel="0" collapsed="false">
      <c r="A1186" s="2" t="str">
        <f aca="false">HYPERLINK("https://www.fabsurplus.com/sdi_catalog/salesItemDetails.do?id=102700")</f>
        <v>https://www.fabsurplus.com/sdi_catalog/salesItemDetails.do?id=102700</v>
      </c>
      <c r="B1186" s="2" t="s">
        <v>3216</v>
      </c>
      <c r="C1186" s="2" t="s">
        <v>3041</v>
      </c>
      <c r="D1186" s="2" t="s">
        <v>3217</v>
      </c>
      <c r="E1186" s="2" t="s">
        <v>3218</v>
      </c>
      <c r="F1186" s="2" t="s">
        <v>16</v>
      </c>
      <c r="G1186" s="2" t="s">
        <v>17</v>
      </c>
      <c r="H1186" s="2"/>
      <c r="I1186" s="3" t="n">
        <v>38139</v>
      </c>
      <c r="J1186" s="2" t="s">
        <v>19</v>
      </c>
      <c r="K1186" s="2"/>
      <c r="L1186" s="4" t="s">
        <v>3219</v>
      </c>
    </row>
    <row r="1187" customFormat="false" ht="13.35" hidden="false" customHeight="true" outlineLevel="0" collapsed="false">
      <c r="A1187" s="2" t="str">
        <f aca="false">HYPERLINK("https://www.fabsurplus.com/sdi_catalog/salesItemDetails.do?id=102701")</f>
        <v>https://www.fabsurplus.com/sdi_catalog/salesItemDetails.do?id=102701</v>
      </c>
      <c r="B1187" s="2" t="s">
        <v>3220</v>
      </c>
      <c r="C1187" s="2" t="s">
        <v>3041</v>
      </c>
      <c r="D1187" s="2" t="s">
        <v>3217</v>
      </c>
      <c r="E1187" s="2" t="s">
        <v>3218</v>
      </c>
      <c r="F1187" s="2" t="s">
        <v>16</v>
      </c>
      <c r="G1187" s="2" t="s">
        <v>17</v>
      </c>
      <c r="H1187" s="2"/>
      <c r="I1187" s="3" t="n">
        <v>38139</v>
      </c>
      <c r="J1187" s="2" t="s">
        <v>19</v>
      </c>
      <c r="K1187" s="2"/>
      <c r="L1187" s="4" t="s">
        <v>3221</v>
      </c>
    </row>
    <row r="1188" customFormat="false" ht="13.35" hidden="false" customHeight="true" outlineLevel="0" collapsed="false">
      <c r="A1188" s="5" t="str">
        <f aca="false">HYPERLINK("https://www.fabsurplus.com/sdi_catalog/salesItemDetails.do?id=102702")</f>
        <v>https://www.fabsurplus.com/sdi_catalog/salesItemDetails.do?id=102702</v>
      </c>
      <c r="B1188" s="5" t="s">
        <v>3222</v>
      </c>
      <c r="C1188" s="5" t="s">
        <v>3041</v>
      </c>
      <c r="D1188" s="5" t="s">
        <v>3223</v>
      </c>
      <c r="E1188" s="5" t="s">
        <v>3224</v>
      </c>
      <c r="F1188" s="5" t="s">
        <v>16</v>
      </c>
      <c r="G1188" s="5" t="s">
        <v>17</v>
      </c>
      <c r="H1188" s="5"/>
      <c r="I1188" s="6" t="n">
        <v>41548</v>
      </c>
      <c r="J1188" s="5" t="s">
        <v>19</v>
      </c>
      <c r="K1188" s="5"/>
      <c r="L1188" s="7" t="s">
        <v>3225</v>
      </c>
    </row>
    <row r="1189" customFormat="false" ht="13.35" hidden="false" customHeight="true" outlineLevel="0" collapsed="false">
      <c r="A1189" s="5" t="str">
        <f aca="false">HYPERLINK("https://www.fabsurplus.com/sdi_catalog/salesItemDetails.do?id=102703")</f>
        <v>https://www.fabsurplus.com/sdi_catalog/salesItemDetails.do?id=102703</v>
      </c>
      <c r="B1189" s="5" t="s">
        <v>3226</v>
      </c>
      <c r="C1189" s="5" t="s">
        <v>3041</v>
      </c>
      <c r="D1189" s="5" t="s">
        <v>3223</v>
      </c>
      <c r="E1189" s="5" t="s">
        <v>3224</v>
      </c>
      <c r="F1189" s="5" t="s">
        <v>16</v>
      </c>
      <c r="G1189" s="5" t="s">
        <v>17</v>
      </c>
      <c r="H1189" s="5"/>
      <c r="I1189" s="6" t="n">
        <v>39234</v>
      </c>
      <c r="J1189" s="5" t="s">
        <v>19</v>
      </c>
      <c r="K1189" s="5"/>
      <c r="L1189" s="7" t="s">
        <v>3227</v>
      </c>
    </row>
    <row r="1190" customFormat="false" ht="13.35" hidden="false" customHeight="true" outlineLevel="0" collapsed="false">
      <c r="A1190" s="5" t="str">
        <f aca="false">HYPERLINK("https://www.fabsurplus.com/sdi_catalog/salesItemDetails.do?id=95729")</f>
        <v>https://www.fabsurplus.com/sdi_catalog/salesItemDetails.do?id=95729</v>
      </c>
      <c r="B1190" s="5" t="s">
        <v>3228</v>
      </c>
      <c r="C1190" s="5" t="s">
        <v>3041</v>
      </c>
      <c r="D1190" s="5" t="s">
        <v>3229</v>
      </c>
      <c r="E1190" s="5" t="s">
        <v>3230</v>
      </c>
      <c r="F1190" s="5" t="s">
        <v>16</v>
      </c>
      <c r="G1190" s="5" t="s">
        <v>17</v>
      </c>
      <c r="H1190" s="5" t="s">
        <v>26</v>
      </c>
      <c r="I1190" s="6" t="n">
        <v>39234</v>
      </c>
      <c r="J1190" s="5" t="s">
        <v>19</v>
      </c>
      <c r="K1190" s="5" t="s">
        <v>20</v>
      </c>
      <c r="L1190" s="7" t="s">
        <v>3231</v>
      </c>
    </row>
    <row r="1191" customFormat="false" ht="13.35" hidden="false" customHeight="true" outlineLevel="0" collapsed="false">
      <c r="A1191" s="2" t="str">
        <f aca="false">HYPERLINK("https://www.fabsurplus.com/sdi_catalog/salesItemDetails.do?id=96552")</f>
        <v>https://www.fabsurplus.com/sdi_catalog/salesItemDetails.do?id=96552</v>
      </c>
      <c r="B1191" s="2" t="s">
        <v>3232</v>
      </c>
      <c r="C1191" s="2" t="s">
        <v>3233</v>
      </c>
      <c r="D1191" s="2" t="s">
        <v>3085</v>
      </c>
      <c r="E1191" s="2" t="s">
        <v>1357</v>
      </c>
      <c r="F1191" s="2" t="s">
        <v>46</v>
      </c>
      <c r="G1191" s="2" t="s">
        <v>3234</v>
      </c>
      <c r="H1191" s="2" t="s">
        <v>18</v>
      </c>
      <c r="I1191" s="3" t="n">
        <v>39083</v>
      </c>
      <c r="J1191" s="2" t="s">
        <v>19</v>
      </c>
      <c r="K1191" s="2" t="s">
        <v>20</v>
      </c>
      <c r="L1191" s="4" t="s">
        <v>3235</v>
      </c>
    </row>
    <row r="1192" customFormat="false" ht="13.35" hidden="false" customHeight="true" outlineLevel="0" collapsed="false">
      <c r="A1192" s="2" t="str">
        <f aca="false">HYPERLINK("https://www.fabsurplus.com/sdi_catalog/salesItemDetails.do?id=91417")</f>
        <v>https://www.fabsurplus.com/sdi_catalog/salesItemDetails.do?id=91417</v>
      </c>
      <c r="B1192" s="2" t="s">
        <v>3236</v>
      </c>
      <c r="C1192" s="2" t="s">
        <v>3237</v>
      </c>
      <c r="D1192" s="2" t="s">
        <v>3238</v>
      </c>
      <c r="E1192" s="2" t="s">
        <v>3239</v>
      </c>
      <c r="F1192" s="2" t="s">
        <v>16</v>
      </c>
      <c r="G1192" s="2" t="s">
        <v>17</v>
      </c>
      <c r="H1192" s="2" t="s">
        <v>26</v>
      </c>
      <c r="I1192" s="3" t="n">
        <v>39326</v>
      </c>
      <c r="J1192" s="2" t="s">
        <v>19</v>
      </c>
      <c r="K1192" s="2" t="s">
        <v>20</v>
      </c>
      <c r="L1192" s="4" t="s">
        <v>3240</v>
      </c>
    </row>
    <row r="1193" customFormat="false" ht="13.35" hidden="false" customHeight="true" outlineLevel="0" collapsed="false">
      <c r="A1193" s="2" t="str">
        <f aca="false">HYPERLINK("https://www.fabsurplus.com/sdi_catalog/salesItemDetails.do?id=91418")</f>
        <v>https://www.fabsurplus.com/sdi_catalog/salesItemDetails.do?id=91418</v>
      </c>
      <c r="B1193" s="2" t="s">
        <v>3241</v>
      </c>
      <c r="C1193" s="2" t="s">
        <v>3237</v>
      </c>
      <c r="D1193" s="2" t="s">
        <v>3242</v>
      </c>
      <c r="E1193" s="2" t="s">
        <v>3243</v>
      </c>
      <c r="F1193" s="2" t="s">
        <v>16</v>
      </c>
      <c r="G1193" s="2"/>
      <c r="H1193" s="2"/>
      <c r="I1193" s="3" t="n">
        <v>37043</v>
      </c>
      <c r="J1193" s="2" t="s">
        <v>19</v>
      </c>
      <c r="K1193" s="2"/>
      <c r="L1193" s="2" t="s">
        <v>112</v>
      </c>
    </row>
    <row r="1194" customFormat="false" ht="13.35" hidden="false" customHeight="true" outlineLevel="0" collapsed="false">
      <c r="A1194" s="2" t="str">
        <f aca="false">HYPERLINK("https://www.fabsurplus.com/sdi_catalog/salesItemDetails.do?id=102992")</f>
        <v>https://www.fabsurplus.com/sdi_catalog/salesItemDetails.do?id=102992</v>
      </c>
      <c r="B1194" s="2" t="s">
        <v>3244</v>
      </c>
      <c r="C1194" s="2" t="s">
        <v>3245</v>
      </c>
      <c r="D1194" s="2" t="s">
        <v>3246</v>
      </c>
      <c r="E1194" s="2" t="s">
        <v>3247</v>
      </c>
      <c r="F1194" s="2" t="s">
        <v>16</v>
      </c>
      <c r="G1194" s="2"/>
      <c r="H1194" s="2" t="s">
        <v>26</v>
      </c>
      <c r="I1194" s="3" t="n">
        <v>40544</v>
      </c>
      <c r="J1194" s="2" t="s">
        <v>19</v>
      </c>
      <c r="K1194" s="2"/>
      <c r="L1194" s="2" t="s">
        <v>2254</v>
      </c>
    </row>
    <row r="1195" customFormat="false" ht="13.35" hidden="false" customHeight="true" outlineLevel="0" collapsed="false">
      <c r="A1195" s="2" t="str">
        <f aca="false">HYPERLINK("https://www.fabsurplus.com/sdi_catalog/salesItemDetails.do?id=87498")</f>
        <v>https://www.fabsurplus.com/sdi_catalog/salesItemDetails.do?id=87498</v>
      </c>
      <c r="B1195" s="2" t="s">
        <v>3248</v>
      </c>
      <c r="C1195" s="2" t="s">
        <v>3249</v>
      </c>
      <c r="D1195" s="2" t="s">
        <v>3250</v>
      </c>
      <c r="E1195" s="2" t="s">
        <v>3251</v>
      </c>
      <c r="F1195" s="2" t="s">
        <v>16</v>
      </c>
      <c r="G1195" s="2" t="s">
        <v>3252</v>
      </c>
      <c r="H1195" s="2" t="s">
        <v>18</v>
      </c>
      <c r="I1195" s="3" t="n">
        <v>33756</v>
      </c>
      <c r="J1195" s="2" t="s">
        <v>19</v>
      </c>
      <c r="K1195" s="2" t="s">
        <v>20</v>
      </c>
      <c r="L1195" s="4" t="s">
        <v>3253</v>
      </c>
    </row>
    <row r="1196" customFormat="false" ht="13.35" hidden="false" customHeight="true" outlineLevel="0" collapsed="false">
      <c r="A1196" s="2" t="str">
        <f aca="false">HYPERLINK("https://www.fabsurplus.com/sdi_catalog/salesItemDetails.do?id=97863")</f>
        <v>https://www.fabsurplus.com/sdi_catalog/salesItemDetails.do?id=97863</v>
      </c>
      <c r="B1196" s="2" t="s">
        <v>3254</v>
      </c>
      <c r="C1196" s="2" t="s">
        <v>3249</v>
      </c>
      <c r="D1196" s="2" t="s">
        <v>3255</v>
      </c>
      <c r="E1196" s="2" t="s">
        <v>3256</v>
      </c>
      <c r="F1196" s="2" t="s">
        <v>16</v>
      </c>
      <c r="G1196" s="2"/>
      <c r="H1196" s="2"/>
      <c r="I1196" s="2"/>
      <c r="J1196" s="2" t="s">
        <v>19</v>
      </c>
      <c r="K1196" s="2"/>
      <c r="L1196" s="2"/>
    </row>
    <row r="1197" customFormat="false" ht="13.35" hidden="false" customHeight="true" outlineLevel="0" collapsed="false">
      <c r="A1197" s="5" t="str">
        <f aca="false">HYPERLINK("https://www.fabsurplus.com/sdi_catalog/salesItemDetails.do?id=93049")</f>
        <v>https://www.fabsurplus.com/sdi_catalog/salesItemDetails.do?id=93049</v>
      </c>
      <c r="B1197" s="5" t="s">
        <v>3257</v>
      </c>
      <c r="C1197" s="5" t="s">
        <v>3249</v>
      </c>
      <c r="D1197" s="5" t="s">
        <v>3258</v>
      </c>
      <c r="E1197" s="5" t="s">
        <v>3259</v>
      </c>
      <c r="F1197" s="5" t="s">
        <v>16</v>
      </c>
      <c r="G1197" s="5" t="s">
        <v>181</v>
      </c>
      <c r="H1197" s="5"/>
      <c r="I1197" s="5"/>
      <c r="J1197" s="5" t="s">
        <v>19</v>
      </c>
      <c r="K1197" s="5"/>
      <c r="L1197" s="5" t="s">
        <v>112</v>
      </c>
    </row>
    <row r="1198" customFormat="false" ht="13.35" hidden="false" customHeight="true" outlineLevel="0" collapsed="false">
      <c r="A1198" s="5" t="str">
        <f aca="false">HYPERLINK("https://www.fabsurplus.com/sdi_catalog/salesItemDetails.do?id=87499")</f>
        <v>https://www.fabsurplus.com/sdi_catalog/salesItemDetails.do?id=87499</v>
      </c>
      <c r="B1198" s="5" t="s">
        <v>3260</v>
      </c>
      <c r="C1198" s="5" t="s">
        <v>3261</v>
      </c>
      <c r="D1198" s="5" t="s">
        <v>3262</v>
      </c>
      <c r="E1198" s="5" t="s">
        <v>3263</v>
      </c>
      <c r="F1198" s="5" t="s">
        <v>16</v>
      </c>
      <c r="G1198" s="5" t="s">
        <v>3252</v>
      </c>
      <c r="H1198" s="5" t="s">
        <v>18</v>
      </c>
      <c r="I1198" s="5"/>
      <c r="J1198" s="5" t="s">
        <v>19</v>
      </c>
      <c r="K1198" s="5" t="s">
        <v>20</v>
      </c>
      <c r="L1198" s="7" t="s">
        <v>3264</v>
      </c>
    </row>
    <row r="1199" customFormat="false" ht="13.35" hidden="false" customHeight="true" outlineLevel="0" collapsed="false">
      <c r="A1199" s="2" t="str">
        <f aca="false">HYPERLINK("https://www.fabsurplus.com/sdi_catalog/salesItemDetails.do?id=103092")</f>
        <v>https://www.fabsurplus.com/sdi_catalog/salesItemDetails.do?id=103092</v>
      </c>
      <c r="B1199" s="2" t="s">
        <v>3265</v>
      </c>
      <c r="C1199" s="2" t="s">
        <v>3266</v>
      </c>
      <c r="D1199" s="2" t="s">
        <v>1924</v>
      </c>
      <c r="E1199" s="2" t="s">
        <v>3267</v>
      </c>
      <c r="F1199" s="2" t="s">
        <v>16</v>
      </c>
      <c r="G1199" s="2" t="s">
        <v>658</v>
      </c>
      <c r="H1199" s="2"/>
      <c r="I1199" s="2"/>
      <c r="J1199" s="2" t="s">
        <v>19</v>
      </c>
      <c r="K1199" s="2"/>
      <c r="L1199" s="2"/>
    </row>
    <row r="1200" customFormat="false" ht="13.35" hidden="false" customHeight="true" outlineLevel="0" collapsed="false">
      <c r="A1200" s="2" t="str">
        <f aca="false">HYPERLINK("https://www.fabsurplus.com/sdi_catalog/salesItemDetails.do?id=102238")</f>
        <v>https://www.fabsurplus.com/sdi_catalog/salesItemDetails.do?id=102238</v>
      </c>
      <c r="B1200" s="2" t="s">
        <v>3268</v>
      </c>
      <c r="C1200" s="2" t="s">
        <v>3266</v>
      </c>
      <c r="D1200" s="2" t="s">
        <v>3269</v>
      </c>
      <c r="E1200" s="2" t="s">
        <v>3270</v>
      </c>
      <c r="F1200" s="2" t="s">
        <v>16</v>
      </c>
      <c r="G1200" s="2" t="s">
        <v>17</v>
      </c>
      <c r="H1200" s="2"/>
      <c r="I1200" s="2"/>
      <c r="J1200" s="2" t="s">
        <v>19</v>
      </c>
      <c r="K1200" s="2"/>
      <c r="L1200" s="2"/>
    </row>
    <row r="1201" customFormat="false" ht="13.35" hidden="false" customHeight="true" outlineLevel="0" collapsed="false">
      <c r="A1201" s="5" t="str">
        <f aca="false">HYPERLINK("https://www.fabsurplus.com/sdi_catalog/salesItemDetails.do?id=102239")</f>
        <v>https://www.fabsurplus.com/sdi_catalog/salesItemDetails.do?id=102239</v>
      </c>
      <c r="B1201" s="5" t="s">
        <v>3271</v>
      </c>
      <c r="C1201" s="5" t="s">
        <v>3266</v>
      </c>
      <c r="D1201" s="5" t="s">
        <v>3269</v>
      </c>
      <c r="E1201" s="5" t="s">
        <v>3270</v>
      </c>
      <c r="F1201" s="5" t="s">
        <v>16</v>
      </c>
      <c r="G1201" s="5" t="s">
        <v>17</v>
      </c>
      <c r="H1201" s="5"/>
      <c r="I1201" s="5"/>
      <c r="J1201" s="5" t="s">
        <v>19</v>
      </c>
      <c r="K1201" s="5"/>
      <c r="L1201" s="5"/>
    </row>
    <row r="1202" customFormat="false" ht="13.35" hidden="false" customHeight="true" outlineLevel="0" collapsed="false">
      <c r="A1202" s="5" t="str">
        <f aca="false">HYPERLINK("https://www.fabsurplus.com/sdi_catalog/salesItemDetails.do?id=102559")</f>
        <v>https://www.fabsurplus.com/sdi_catalog/salesItemDetails.do?id=102559</v>
      </c>
      <c r="B1202" s="5" t="s">
        <v>3272</v>
      </c>
      <c r="C1202" s="5" t="s">
        <v>3273</v>
      </c>
      <c r="D1202" s="5" t="s">
        <v>3274</v>
      </c>
      <c r="E1202" s="5" t="s">
        <v>3275</v>
      </c>
      <c r="F1202" s="5" t="s">
        <v>16</v>
      </c>
      <c r="G1202" s="5" t="s">
        <v>658</v>
      </c>
      <c r="H1202" s="5"/>
      <c r="I1202" s="5"/>
      <c r="J1202" s="5" t="s">
        <v>47</v>
      </c>
      <c r="K1202" s="5"/>
      <c r="L1202" s="5"/>
    </row>
    <row r="1203" customFormat="false" ht="13.35" hidden="false" customHeight="true" outlineLevel="0" collapsed="false">
      <c r="A1203" s="5" t="str">
        <f aca="false">HYPERLINK("https://www.fabsurplus.com/sdi_catalog/salesItemDetails.do?id=102240")</f>
        <v>https://www.fabsurplus.com/sdi_catalog/salesItemDetails.do?id=102240</v>
      </c>
      <c r="B1203" s="5" t="s">
        <v>3276</v>
      </c>
      <c r="C1203" s="5" t="s">
        <v>3277</v>
      </c>
      <c r="D1203" s="5" t="s">
        <v>3278</v>
      </c>
      <c r="E1203" s="5" t="s">
        <v>3279</v>
      </c>
      <c r="F1203" s="5" t="s">
        <v>16</v>
      </c>
      <c r="G1203" s="5" t="s">
        <v>17</v>
      </c>
      <c r="H1203" s="5"/>
      <c r="I1203" s="6" t="n">
        <v>39234</v>
      </c>
      <c r="J1203" s="5" t="s">
        <v>19</v>
      </c>
      <c r="K1203" s="5"/>
      <c r="L1203" s="5"/>
    </row>
    <row r="1204" customFormat="false" ht="13.35" hidden="false" customHeight="true" outlineLevel="0" collapsed="false">
      <c r="A1204" s="5" t="str">
        <f aca="false">HYPERLINK("https://www.fabsurplus.com/sdi_catalog/salesItemDetails.do?id=102526")</f>
        <v>https://www.fabsurplus.com/sdi_catalog/salesItemDetails.do?id=102526</v>
      </c>
      <c r="B1204" s="5" t="s">
        <v>3280</v>
      </c>
      <c r="C1204" s="5" t="s">
        <v>3281</v>
      </c>
      <c r="D1204" s="5" t="s">
        <v>3282</v>
      </c>
      <c r="E1204" s="5" t="s">
        <v>3283</v>
      </c>
      <c r="F1204" s="5" t="s">
        <v>58</v>
      </c>
      <c r="G1204" s="5"/>
      <c r="H1204" s="5"/>
      <c r="I1204" s="5"/>
      <c r="J1204" s="5" t="s">
        <v>47</v>
      </c>
      <c r="K1204" s="5"/>
      <c r="L1204" s="5"/>
    </row>
    <row r="1205" customFormat="false" ht="13.35" hidden="false" customHeight="true" outlineLevel="0" collapsed="false">
      <c r="A1205" s="2" t="str">
        <f aca="false">HYPERLINK("https://www.fabsurplus.com/sdi_catalog/salesItemDetails.do?id=102241")</f>
        <v>https://www.fabsurplus.com/sdi_catalog/salesItemDetails.do?id=102241</v>
      </c>
      <c r="B1205" s="2" t="s">
        <v>3284</v>
      </c>
      <c r="C1205" s="2" t="s">
        <v>3285</v>
      </c>
      <c r="D1205" s="2" t="s">
        <v>3286</v>
      </c>
      <c r="E1205" s="2" t="s">
        <v>3287</v>
      </c>
      <c r="F1205" s="2" t="s">
        <v>16</v>
      </c>
      <c r="G1205" s="2"/>
      <c r="H1205" s="2"/>
      <c r="I1205" s="2"/>
      <c r="J1205" s="2" t="s">
        <v>19</v>
      </c>
      <c r="K1205" s="2"/>
      <c r="L1205" s="2"/>
    </row>
    <row r="1206" customFormat="false" ht="13.35" hidden="false" customHeight="true" outlineLevel="0" collapsed="false">
      <c r="A1206" s="5" t="str">
        <f aca="false">HYPERLINK("https://www.fabsurplus.com/sdi_catalog/salesItemDetails.do?id=103157")</f>
        <v>https://www.fabsurplus.com/sdi_catalog/salesItemDetails.do?id=103157</v>
      </c>
      <c r="B1206" s="5" t="s">
        <v>3288</v>
      </c>
      <c r="C1206" s="5" t="s">
        <v>3289</v>
      </c>
      <c r="D1206" s="5" t="s">
        <v>3290</v>
      </c>
      <c r="E1206" s="5" t="s">
        <v>3291</v>
      </c>
      <c r="F1206" s="5" t="s">
        <v>16</v>
      </c>
      <c r="G1206" s="5"/>
      <c r="H1206" s="5"/>
      <c r="I1206" s="5"/>
      <c r="J1206" s="5" t="s">
        <v>47</v>
      </c>
      <c r="K1206" s="5"/>
      <c r="L1206" s="7" t="s">
        <v>3292</v>
      </c>
    </row>
    <row r="1207" customFormat="false" ht="13.35" hidden="false" customHeight="true" outlineLevel="0" collapsed="false">
      <c r="A1207" s="2" t="str">
        <f aca="false">HYPERLINK("https://www.fabsurplus.com/sdi_catalog/salesItemDetails.do?id=101859")</f>
        <v>https://www.fabsurplus.com/sdi_catalog/salesItemDetails.do?id=101859</v>
      </c>
      <c r="B1207" s="2" t="s">
        <v>3293</v>
      </c>
      <c r="C1207" s="2" t="s">
        <v>3294</v>
      </c>
      <c r="D1207" s="2" t="s">
        <v>3295</v>
      </c>
      <c r="E1207" s="2" t="s">
        <v>159</v>
      </c>
      <c r="F1207" s="2" t="s">
        <v>16</v>
      </c>
      <c r="G1207" s="2" t="s">
        <v>160</v>
      </c>
      <c r="H1207" s="2"/>
      <c r="I1207" s="3" t="n">
        <v>42522</v>
      </c>
      <c r="J1207" s="2" t="s">
        <v>19</v>
      </c>
      <c r="K1207" s="2"/>
      <c r="L1207" s="2" t="s">
        <v>161</v>
      </c>
    </row>
    <row r="1208" customFormat="false" ht="13.35" hidden="false" customHeight="true" outlineLevel="0" collapsed="false">
      <c r="A1208" s="2" t="str">
        <f aca="false">HYPERLINK("https://www.fabsurplus.com/sdi_catalog/salesItemDetails.do?id=98465")</f>
        <v>https://www.fabsurplus.com/sdi_catalog/salesItemDetails.do?id=98465</v>
      </c>
      <c r="B1208" s="2" t="s">
        <v>3296</v>
      </c>
      <c r="C1208" s="2" t="s">
        <v>3297</v>
      </c>
      <c r="D1208" s="2" t="s">
        <v>3298</v>
      </c>
      <c r="E1208" s="2" t="s">
        <v>2515</v>
      </c>
      <c r="F1208" s="2" t="s">
        <v>58</v>
      </c>
      <c r="G1208" s="2" t="s">
        <v>862</v>
      </c>
      <c r="H1208" s="2"/>
      <c r="I1208" s="2"/>
      <c r="J1208" s="2" t="s">
        <v>19</v>
      </c>
      <c r="K1208" s="2"/>
      <c r="L1208" s="2" t="s">
        <v>1417</v>
      </c>
    </row>
    <row r="1209" customFormat="false" ht="13.35" hidden="false" customHeight="true" outlineLevel="0" collapsed="false">
      <c r="A1209" s="5" t="str">
        <f aca="false">HYPERLINK("https://www.fabsurplus.com/sdi_catalog/salesItemDetails.do?id=98466")</f>
        <v>https://www.fabsurplus.com/sdi_catalog/salesItemDetails.do?id=98466</v>
      </c>
      <c r="B1209" s="5" t="s">
        <v>3299</v>
      </c>
      <c r="C1209" s="5" t="s">
        <v>3297</v>
      </c>
      <c r="D1209" s="5" t="s">
        <v>3298</v>
      </c>
      <c r="E1209" s="5" t="s">
        <v>2515</v>
      </c>
      <c r="F1209" s="5" t="s">
        <v>125</v>
      </c>
      <c r="G1209" s="5" t="s">
        <v>493</v>
      </c>
      <c r="H1209" s="5" t="s">
        <v>96</v>
      </c>
      <c r="I1209" s="5"/>
      <c r="J1209" s="5" t="s">
        <v>19</v>
      </c>
      <c r="K1209" s="5" t="s">
        <v>20</v>
      </c>
      <c r="L1209" s="5" t="s">
        <v>3300</v>
      </c>
    </row>
    <row r="1210" customFormat="false" ht="13.35" hidden="false" customHeight="true" outlineLevel="0" collapsed="false">
      <c r="A1210" s="5" t="str">
        <f aca="false">HYPERLINK("https://www.fabsurplus.com/sdi_catalog/salesItemDetails.do?id=103185")</f>
        <v>https://www.fabsurplus.com/sdi_catalog/salesItemDetails.do?id=103185</v>
      </c>
      <c r="B1210" s="5" t="s">
        <v>3301</v>
      </c>
      <c r="C1210" s="5" t="s">
        <v>3302</v>
      </c>
      <c r="D1210" s="5" t="s">
        <v>3303</v>
      </c>
      <c r="E1210" s="5" t="s">
        <v>3304</v>
      </c>
      <c r="F1210" s="5" t="s">
        <v>16</v>
      </c>
      <c r="G1210" s="5" t="s">
        <v>499</v>
      </c>
      <c r="H1210" s="5"/>
      <c r="I1210" s="6" t="n">
        <v>40330</v>
      </c>
      <c r="J1210" s="5" t="s">
        <v>19</v>
      </c>
      <c r="K1210" s="5"/>
      <c r="L1210" s="5" t="s">
        <v>3305</v>
      </c>
    </row>
    <row r="1211" customFormat="false" ht="13.35" hidden="false" customHeight="true" outlineLevel="0" collapsed="false">
      <c r="A1211" s="2" t="str">
        <f aca="false">HYPERLINK("https://www.fabsurplus.com/sdi_catalog/salesItemDetails.do?id=35569")</f>
        <v>https://www.fabsurplus.com/sdi_catalog/salesItemDetails.do?id=35569</v>
      </c>
      <c r="B1211" s="2" t="s">
        <v>3306</v>
      </c>
      <c r="C1211" s="2" t="s">
        <v>3307</v>
      </c>
      <c r="D1211" s="2" t="s">
        <v>3308</v>
      </c>
      <c r="E1211" s="2" t="s">
        <v>3309</v>
      </c>
      <c r="F1211" s="2" t="s">
        <v>16</v>
      </c>
      <c r="G1211" s="2"/>
      <c r="H1211" s="2"/>
      <c r="I1211" s="2"/>
      <c r="J1211" s="2" t="s">
        <v>47</v>
      </c>
      <c r="K1211" s="2"/>
      <c r="L1211" s="2"/>
    </row>
    <row r="1212" customFormat="false" ht="13.35" hidden="false" customHeight="true" outlineLevel="0" collapsed="false">
      <c r="A1212" s="5" t="str">
        <f aca="false">HYPERLINK("https://www.fabsurplus.com/sdi_catalog/salesItemDetails.do?id=91419")</f>
        <v>https://www.fabsurplus.com/sdi_catalog/salesItemDetails.do?id=91419</v>
      </c>
      <c r="B1212" s="5" t="s">
        <v>3310</v>
      </c>
      <c r="C1212" s="5" t="s">
        <v>3311</v>
      </c>
      <c r="D1212" s="5" t="s">
        <v>3312</v>
      </c>
      <c r="E1212" s="5" t="s">
        <v>3313</v>
      </c>
      <c r="F1212" s="5" t="s">
        <v>16</v>
      </c>
      <c r="G1212" s="5" t="s">
        <v>17</v>
      </c>
      <c r="H1212" s="5"/>
      <c r="I1212" s="5"/>
      <c r="J1212" s="5" t="s">
        <v>19</v>
      </c>
      <c r="K1212" s="5"/>
      <c r="L1212" s="5" t="s">
        <v>112</v>
      </c>
    </row>
    <row r="1213" customFormat="false" ht="13.35" hidden="false" customHeight="true" outlineLevel="0" collapsed="false">
      <c r="A1213" s="2" t="str">
        <f aca="false">HYPERLINK("https://www.fabsurplus.com/sdi_catalog/salesItemDetails.do?id=91420")</f>
        <v>https://www.fabsurplus.com/sdi_catalog/salesItemDetails.do?id=91420</v>
      </c>
      <c r="B1213" s="2" t="s">
        <v>3314</v>
      </c>
      <c r="C1213" s="2" t="s">
        <v>3311</v>
      </c>
      <c r="D1213" s="2" t="s">
        <v>3315</v>
      </c>
      <c r="E1213" s="2" t="s">
        <v>3313</v>
      </c>
      <c r="F1213" s="2" t="s">
        <v>16</v>
      </c>
      <c r="G1213" s="2" t="s">
        <v>36</v>
      </c>
      <c r="H1213" s="2"/>
      <c r="I1213" s="3" t="n">
        <v>37043</v>
      </c>
      <c r="J1213" s="2" t="s">
        <v>19</v>
      </c>
      <c r="K1213" s="2"/>
      <c r="L1213" s="2" t="s">
        <v>112</v>
      </c>
    </row>
    <row r="1214" customFormat="false" ht="13.35" hidden="false" customHeight="true" outlineLevel="0" collapsed="false">
      <c r="A1214" s="5" t="str">
        <f aca="false">HYPERLINK("https://www.fabsurplus.com/sdi_catalog/salesItemDetails.do?id=91421")</f>
        <v>https://www.fabsurplus.com/sdi_catalog/salesItemDetails.do?id=91421</v>
      </c>
      <c r="B1214" s="5" t="s">
        <v>3316</v>
      </c>
      <c r="C1214" s="5" t="s">
        <v>3317</v>
      </c>
      <c r="D1214" s="5" t="s">
        <v>3318</v>
      </c>
      <c r="E1214" s="5" t="s">
        <v>3319</v>
      </c>
      <c r="F1214" s="5" t="s">
        <v>16</v>
      </c>
      <c r="G1214" s="5"/>
      <c r="H1214" s="5"/>
      <c r="I1214" s="5"/>
      <c r="J1214" s="5" t="s">
        <v>19</v>
      </c>
      <c r="K1214" s="5"/>
      <c r="L1214" s="5" t="s">
        <v>112</v>
      </c>
    </row>
    <row r="1215" customFormat="false" ht="13.35" hidden="false" customHeight="true" outlineLevel="0" collapsed="false">
      <c r="A1215" s="2" t="str">
        <f aca="false">HYPERLINK("https://www.fabsurplus.com/sdi_catalog/salesItemDetails.do?id=93088")</f>
        <v>https://www.fabsurplus.com/sdi_catalog/salesItemDetails.do?id=93088</v>
      </c>
      <c r="B1215" s="2" t="s">
        <v>3320</v>
      </c>
      <c r="C1215" s="2" t="s">
        <v>3317</v>
      </c>
      <c r="D1215" s="2" t="s">
        <v>3315</v>
      </c>
      <c r="E1215" s="2" t="s">
        <v>3313</v>
      </c>
      <c r="F1215" s="2" t="s">
        <v>16</v>
      </c>
      <c r="G1215" s="2" t="s">
        <v>36</v>
      </c>
      <c r="H1215" s="2"/>
      <c r="I1215" s="3" t="n">
        <v>37043</v>
      </c>
      <c r="J1215" s="2" t="s">
        <v>19</v>
      </c>
      <c r="K1215" s="2"/>
      <c r="L1215" s="2" t="s">
        <v>112</v>
      </c>
    </row>
    <row r="1216" customFormat="false" ht="13.35" hidden="false" customHeight="true" outlineLevel="0" collapsed="false">
      <c r="A1216" s="5" t="str">
        <f aca="false">HYPERLINK("https://www.fabsurplus.com/sdi_catalog/salesItemDetails.do?id=101649")</f>
        <v>https://www.fabsurplus.com/sdi_catalog/salesItemDetails.do?id=101649</v>
      </c>
      <c r="B1216" s="5" t="s">
        <v>3321</v>
      </c>
      <c r="C1216" s="5" t="s">
        <v>3322</v>
      </c>
      <c r="D1216" s="5" t="s">
        <v>3323</v>
      </c>
      <c r="E1216" s="5" t="s">
        <v>3324</v>
      </c>
      <c r="F1216" s="5" t="s">
        <v>16</v>
      </c>
      <c r="G1216" s="5" t="s">
        <v>154</v>
      </c>
      <c r="H1216" s="5"/>
      <c r="I1216" s="5"/>
      <c r="J1216" s="5" t="s">
        <v>19</v>
      </c>
      <c r="K1216" s="5"/>
      <c r="L1216" s="5"/>
    </row>
    <row r="1217" customFormat="false" ht="13.35" hidden="false" customHeight="true" outlineLevel="0" collapsed="false">
      <c r="A1217" s="2" t="str">
        <f aca="false">HYPERLINK("https://www.fabsurplus.com/sdi_catalog/salesItemDetails.do?id=101046")</f>
        <v>https://www.fabsurplus.com/sdi_catalog/salesItemDetails.do?id=101046</v>
      </c>
      <c r="B1217" s="2" t="s">
        <v>3325</v>
      </c>
      <c r="C1217" s="2" t="s">
        <v>3322</v>
      </c>
      <c r="D1217" s="2" t="s">
        <v>3326</v>
      </c>
      <c r="E1217" s="2" t="s">
        <v>3327</v>
      </c>
      <c r="F1217" s="2" t="s">
        <v>16</v>
      </c>
      <c r="G1217" s="2" t="s">
        <v>88</v>
      </c>
      <c r="H1217" s="2" t="s">
        <v>18</v>
      </c>
      <c r="I1217" s="3" t="n">
        <v>42887</v>
      </c>
      <c r="J1217" s="2" t="s">
        <v>19</v>
      </c>
      <c r="K1217" s="2" t="s">
        <v>20</v>
      </c>
      <c r="L1217" s="4" t="s">
        <v>3328</v>
      </c>
    </row>
    <row r="1218" customFormat="false" ht="13.35" hidden="false" customHeight="true" outlineLevel="0" collapsed="false">
      <c r="A1218" s="5" t="str">
        <f aca="false">HYPERLINK("https://www.fabsurplus.com/sdi_catalog/salesItemDetails.do?id=101047")</f>
        <v>https://www.fabsurplus.com/sdi_catalog/salesItemDetails.do?id=101047</v>
      </c>
      <c r="B1218" s="5" t="s">
        <v>3329</v>
      </c>
      <c r="C1218" s="5" t="s">
        <v>3330</v>
      </c>
      <c r="D1218" s="5" t="s">
        <v>3331</v>
      </c>
      <c r="E1218" s="5" t="s">
        <v>3332</v>
      </c>
      <c r="F1218" s="5" t="s">
        <v>16</v>
      </c>
      <c r="G1218" s="5" t="s">
        <v>88</v>
      </c>
      <c r="H1218" s="5"/>
      <c r="I1218" s="6" t="n">
        <v>41791</v>
      </c>
      <c r="J1218" s="5"/>
      <c r="K1218" s="5"/>
      <c r="L1218" s="7" t="s">
        <v>3333</v>
      </c>
    </row>
    <row r="1219" customFormat="false" ht="13.35" hidden="false" customHeight="true" outlineLevel="0" collapsed="false">
      <c r="A1219" s="2" t="str">
        <f aca="false">HYPERLINK("https://www.fabsurplus.com/sdi_catalog/salesItemDetails.do?id=102651")</f>
        <v>https://www.fabsurplus.com/sdi_catalog/salesItemDetails.do?id=102651</v>
      </c>
      <c r="B1219" s="2" t="s">
        <v>3334</v>
      </c>
      <c r="C1219" s="2" t="s">
        <v>3335</v>
      </c>
      <c r="D1219" s="2" t="s">
        <v>3336</v>
      </c>
      <c r="E1219" s="2" t="s">
        <v>3337</v>
      </c>
      <c r="F1219" s="2" t="s">
        <v>16</v>
      </c>
      <c r="G1219" s="2"/>
      <c r="H1219" s="2" t="s">
        <v>26</v>
      </c>
      <c r="I1219" s="2"/>
      <c r="J1219" s="2" t="s">
        <v>47</v>
      </c>
      <c r="K1219" s="2" t="s">
        <v>809</v>
      </c>
      <c r="L1219" s="4" t="s">
        <v>3338</v>
      </c>
    </row>
    <row r="1220" customFormat="false" ht="13.35" hidden="false" customHeight="true" outlineLevel="0" collapsed="false">
      <c r="A1220" s="5" t="str">
        <f aca="false">HYPERLINK("https://www.fabsurplus.com/sdi_catalog/salesItemDetails.do?id=102242")</f>
        <v>https://www.fabsurplus.com/sdi_catalog/salesItemDetails.do?id=102242</v>
      </c>
      <c r="B1220" s="5" t="s">
        <v>3339</v>
      </c>
      <c r="C1220" s="5" t="s">
        <v>3340</v>
      </c>
      <c r="D1220" s="5" t="s">
        <v>3341</v>
      </c>
      <c r="E1220" s="5" t="s">
        <v>3342</v>
      </c>
      <c r="F1220" s="5" t="s">
        <v>16</v>
      </c>
      <c r="G1220" s="5" t="s">
        <v>17</v>
      </c>
      <c r="H1220" s="5"/>
      <c r="I1220" s="5"/>
      <c r="J1220" s="5" t="s">
        <v>19</v>
      </c>
      <c r="K1220" s="5"/>
      <c r="L1220" s="5"/>
    </row>
    <row r="1221" customFormat="false" ht="13.35" hidden="false" customHeight="true" outlineLevel="0" collapsed="false">
      <c r="A1221" s="2" t="str">
        <f aca="false">HYPERLINK("https://www.fabsurplus.com/sdi_catalog/salesItemDetails.do?id=102243")</f>
        <v>https://www.fabsurplus.com/sdi_catalog/salesItemDetails.do?id=102243</v>
      </c>
      <c r="B1221" s="2" t="s">
        <v>3343</v>
      </c>
      <c r="C1221" s="2" t="s">
        <v>3340</v>
      </c>
      <c r="D1221" s="2" t="s">
        <v>3341</v>
      </c>
      <c r="E1221" s="2" t="s">
        <v>3342</v>
      </c>
      <c r="F1221" s="2" t="s">
        <v>16</v>
      </c>
      <c r="G1221" s="2" t="s">
        <v>17</v>
      </c>
      <c r="H1221" s="2"/>
      <c r="I1221" s="2"/>
      <c r="J1221" s="2" t="s">
        <v>19</v>
      </c>
      <c r="K1221" s="2"/>
      <c r="L1221" s="2"/>
    </row>
    <row r="1222" customFormat="false" ht="13.35" hidden="false" customHeight="true" outlineLevel="0" collapsed="false">
      <c r="A1222" s="2" t="str">
        <f aca="false">HYPERLINK("https://www.fabsurplus.com/sdi_catalog/salesItemDetails.do?id=102653")</f>
        <v>https://www.fabsurplus.com/sdi_catalog/salesItemDetails.do?id=102653</v>
      </c>
      <c r="B1222" s="2" t="s">
        <v>3344</v>
      </c>
      <c r="C1222" s="2" t="s">
        <v>3335</v>
      </c>
      <c r="D1222" s="2" t="s">
        <v>3341</v>
      </c>
      <c r="E1222" s="2" t="s">
        <v>3337</v>
      </c>
      <c r="F1222" s="2" t="s">
        <v>16</v>
      </c>
      <c r="G1222" s="2"/>
      <c r="H1222" s="2" t="s">
        <v>26</v>
      </c>
      <c r="I1222" s="2"/>
      <c r="J1222" s="2" t="s">
        <v>47</v>
      </c>
      <c r="K1222" s="2" t="s">
        <v>809</v>
      </c>
      <c r="L1222" s="4" t="s">
        <v>3345</v>
      </c>
    </row>
    <row r="1223" customFormat="false" ht="13.35" hidden="false" customHeight="true" outlineLevel="0" collapsed="false">
      <c r="A1223" s="5" t="str">
        <f aca="false">HYPERLINK("https://www.fabsurplus.com/sdi_catalog/salesItemDetails.do?id=102244")</f>
        <v>https://www.fabsurplus.com/sdi_catalog/salesItemDetails.do?id=102244</v>
      </c>
      <c r="B1223" s="5" t="s">
        <v>3346</v>
      </c>
      <c r="C1223" s="5" t="s">
        <v>3340</v>
      </c>
      <c r="D1223" s="5" t="s">
        <v>3347</v>
      </c>
      <c r="E1223" s="5" t="s">
        <v>3342</v>
      </c>
      <c r="F1223" s="5" t="s">
        <v>16</v>
      </c>
      <c r="G1223" s="5" t="s">
        <v>17</v>
      </c>
      <c r="H1223" s="5"/>
      <c r="I1223" s="6" t="n">
        <v>38869</v>
      </c>
      <c r="J1223" s="5" t="s">
        <v>19</v>
      </c>
      <c r="K1223" s="5"/>
      <c r="L1223" s="5"/>
    </row>
    <row r="1224" customFormat="false" ht="13.35" hidden="false" customHeight="true" outlineLevel="0" collapsed="false">
      <c r="A1224" s="2" t="str">
        <f aca="false">HYPERLINK("https://www.fabsurplus.com/sdi_catalog/salesItemDetails.do?id=102705")</f>
        <v>https://www.fabsurplus.com/sdi_catalog/salesItemDetails.do?id=102705</v>
      </c>
      <c r="B1224" s="2" t="s">
        <v>3348</v>
      </c>
      <c r="C1224" s="2" t="s">
        <v>3340</v>
      </c>
      <c r="D1224" s="2" t="s">
        <v>3349</v>
      </c>
      <c r="E1224" s="2" t="s">
        <v>2858</v>
      </c>
      <c r="F1224" s="2" t="s">
        <v>16</v>
      </c>
      <c r="G1224" s="2" t="s">
        <v>862</v>
      </c>
      <c r="H1224" s="2"/>
      <c r="I1224" s="3" t="n">
        <v>36678</v>
      </c>
      <c r="J1224" s="2" t="s">
        <v>19</v>
      </c>
      <c r="K1224" s="2"/>
      <c r="L1224" s="4" t="s">
        <v>3350</v>
      </c>
    </row>
    <row r="1225" customFormat="false" ht="13.35" hidden="false" customHeight="true" outlineLevel="0" collapsed="false">
      <c r="A1225" s="5" t="str">
        <f aca="false">HYPERLINK("https://www.fabsurplus.com/sdi_catalog/salesItemDetails.do?id=91422")</f>
        <v>https://www.fabsurplus.com/sdi_catalog/salesItemDetails.do?id=91422</v>
      </c>
      <c r="B1225" s="5" t="s">
        <v>3351</v>
      </c>
      <c r="C1225" s="5" t="s">
        <v>3340</v>
      </c>
      <c r="D1225" s="5" t="s">
        <v>3352</v>
      </c>
      <c r="E1225" s="5" t="s">
        <v>3135</v>
      </c>
      <c r="F1225" s="5" t="s">
        <v>16</v>
      </c>
      <c r="G1225" s="5"/>
      <c r="H1225" s="5"/>
      <c r="I1225" s="6" t="n">
        <v>36312</v>
      </c>
      <c r="J1225" s="5" t="s">
        <v>19</v>
      </c>
      <c r="K1225" s="5"/>
      <c r="L1225" s="5" t="s">
        <v>112</v>
      </c>
    </row>
    <row r="1226" customFormat="false" ht="13.35" hidden="false" customHeight="true" outlineLevel="0" collapsed="false">
      <c r="A1226" s="5" t="str">
        <f aca="false">HYPERLINK("https://www.fabsurplus.com/sdi_catalog/salesItemDetails.do?id=101692")</f>
        <v>https://www.fabsurplus.com/sdi_catalog/salesItemDetails.do?id=101692</v>
      </c>
      <c r="B1226" s="5" t="s">
        <v>3353</v>
      </c>
      <c r="C1226" s="5" t="s">
        <v>3335</v>
      </c>
      <c r="D1226" s="5" t="s">
        <v>3354</v>
      </c>
      <c r="E1226" s="5" t="s">
        <v>3050</v>
      </c>
      <c r="F1226" s="5" t="s">
        <v>16</v>
      </c>
      <c r="G1226" s="5"/>
      <c r="H1226" s="5" t="s">
        <v>26</v>
      </c>
      <c r="I1226" s="5"/>
      <c r="J1226" s="5" t="s">
        <v>47</v>
      </c>
      <c r="K1226" s="5" t="s">
        <v>20</v>
      </c>
      <c r="L1226" s="7" t="s">
        <v>3355</v>
      </c>
    </row>
    <row r="1227" customFormat="false" ht="13.35" hidden="false" customHeight="true" outlineLevel="0" collapsed="false">
      <c r="A1227" s="2" t="str">
        <f aca="false">HYPERLINK("https://www.fabsurplus.com/sdi_catalog/salesItemDetails.do?id=91423")</f>
        <v>https://www.fabsurplus.com/sdi_catalog/salesItemDetails.do?id=91423</v>
      </c>
      <c r="B1227" s="2" t="s">
        <v>3356</v>
      </c>
      <c r="C1227" s="2" t="s">
        <v>3340</v>
      </c>
      <c r="D1227" s="2" t="s">
        <v>3357</v>
      </c>
      <c r="E1227" s="2" t="s">
        <v>3135</v>
      </c>
      <c r="F1227" s="2" t="s">
        <v>16</v>
      </c>
      <c r="G1227" s="2"/>
      <c r="H1227" s="2"/>
      <c r="I1227" s="2"/>
      <c r="J1227" s="2" t="s">
        <v>19</v>
      </c>
      <c r="K1227" s="2"/>
      <c r="L1227" s="2" t="s">
        <v>112</v>
      </c>
    </row>
    <row r="1228" customFormat="false" ht="13.35" hidden="false" customHeight="true" outlineLevel="0" collapsed="false">
      <c r="A1228" s="2" t="str">
        <f aca="false">HYPERLINK("https://www.fabsurplus.com/sdi_catalog/salesItemDetails.do?id=102486")</f>
        <v>https://www.fabsurplus.com/sdi_catalog/salesItemDetails.do?id=102486</v>
      </c>
      <c r="B1228" s="2" t="s">
        <v>3358</v>
      </c>
      <c r="C1228" s="2" t="s">
        <v>3335</v>
      </c>
      <c r="D1228" s="2" t="s">
        <v>3359</v>
      </c>
      <c r="E1228" s="2" t="s">
        <v>3360</v>
      </c>
      <c r="F1228" s="2" t="s">
        <v>16</v>
      </c>
      <c r="G1228" s="2"/>
      <c r="H1228" s="2" t="s">
        <v>26</v>
      </c>
      <c r="I1228" s="3" t="n">
        <v>41791</v>
      </c>
      <c r="J1228" s="2" t="s">
        <v>19</v>
      </c>
      <c r="K1228" s="2" t="s">
        <v>20</v>
      </c>
      <c r="L1228" s="4" t="s">
        <v>3361</v>
      </c>
    </row>
    <row r="1229" customFormat="false" ht="13.35" hidden="false" customHeight="true" outlineLevel="0" collapsed="false">
      <c r="A1229" s="5" t="str">
        <f aca="false">HYPERLINK("https://www.fabsurplus.com/sdi_catalog/salesItemDetails.do?id=91424")</f>
        <v>https://www.fabsurplus.com/sdi_catalog/salesItemDetails.do?id=91424</v>
      </c>
      <c r="B1229" s="5" t="s">
        <v>3362</v>
      </c>
      <c r="C1229" s="5" t="s">
        <v>3340</v>
      </c>
      <c r="D1229" s="5" t="s">
        <v>3363</v>
      </c>
      <c r="E1229" s="5" t="s">
        <v>3135</v>
      </c>
      <c r="F1229" s="5" t="s">
        <v>16</v>
      </c>
      <c r="G1229" s="5"/>
      <c r="H1229" s="5"/>
      <c r="I1229" s="5"/>
      <c r="J1229" s="5" t="s">
        <v>19</v>
      </c>
      <c r="K1229" s="5"/>
      <c r="L1229" s="5" t="s">
        <v>112</v>
      </c>
    </row>
    <row r="1230" customFormat="false" ht="13.35" hidden="false" customHeight="true" outlineLevel="0" collapsed="false">
      <c r="A1230" s="5" t="str">
        <f aca="false">HYPERLINK("https://www.fabsurplus.com/sdi_catalog/salesItemDetails.do?id=102652")</f>
        <v>https://www.fabsurplus.com/sdi_catalog/salesItemDetails.do?id=102652</v>
      </c>
      <c r="B1230" s="5" t="s">
        <v>3364</v>
      </c>
      <c r="C1230" s="5" t="s">
        <v>3335</v>
      </c>
      <c r="D1230" s="5" t="s">
        <v>3365</v>
      </c>
      <c r="E1230" s="5" t="s">
        <v>3366</v>
      </c>
      <c r="F1230" s="5" t="s">
        <v>16</v>
      </c>
      <c r="G1230" s="5"/>
      <c r="H1230" s="5" t="s">
        <v>26</v>
      </c>
      <c r="I1230" s="5"/>
      <c r="J1230" s="5" t="s">
        <v>47</v>
      </c>
      <c r="K1230" s="5" t="s">
        <v>809</v>
      </c>
      <c r="L1230" s="7" t="s">
        <v>3345</v>
      </c>
    </row>
    <row r="1231" customFormat="false" ht="13.35" hidden="false" customHeight="true" outlineLevel="0" collapsed="false">
      <c r="A1231" s="2" t="str">
        <f aca="false">HYPERLINK("https://www.fabsurplus.com/sdi_catalog/salesItemDetails.do?id=102968")</f>
        <v>https://www.fabsurplus.com/sdi_catalog/salesItemDetails.do?id=102968</v>
      </c>
      <c r="B1231" s="2" t="s">
        <v>3367</v>
      </c>
      <c r="C1231" s="2" t="s">
        <v>3340</v>
      </c>
      <c r="D1231" s="2" t="s">
        <v>3368</v>
      </c>
      <c r="E1231" s="2" t="s">
        <v>3050</v>
      </c>
      <c r="F1231" s="2" t="s">
        <v>16</v>
      </c>
      <c r="G1231" s="2" t="s">
        <v>1807</v>
      </c>
      <c r="H1231" s="2"/>
      <c r="I1231" s="3" t="n">
        <v>39965</v>
      </c>
      <c r="J1231" s="2" t="s">
        <v>19</v>
      </c>
      <c r="K1231" s="2"/>
      <c r="L1231" s="2"/>
    </row>
    <row r="1232" customFormat="false" ht="13.35" hidden="false" customHeight="true" outlineLevel="0" collapsed="false">
      <c r="A1232" s="2" t="str">
        <f aca="false">HYPERLINK("https://www.fabsurplus.com/sdi_catalog/salesItemDetails.do?id=102245")</f>
        <v>https://www.fabsurplus.com/sdi_catalog/salesItemDetails.do?id=102245</v>
      </c>
      <c r="B1232" s="2" t="s">
        <v>3369</v>
      </c>
      <c r="C1232" s="2" t="s">
        <v>3340</v>
      </c>
      <c r="D1232" s="2" t="s">
        <v>3370</v>
      </c>
      <c r="E1232" s="2" t="s">
        <v>3371</v>
      </c>
      <c r="F1232" s="2" t="s">
        <v>16</v>
      </c>
      <c r="G1232" s="2" t="s">
        <v>36</v>
      </c>
      <c r="H1232" s="2"/>
      <c r="I1232" s="3" t="n">
        <v>36312</v>
      </c>
      <c r="J1232" s="2" t="s">
        <v>19</v>
      </c>
      <c r="K1232" s="2"/>
      <c r="L1232" s="2"/>
    </row>
    <row r="1233" customFormat="false" ht="13.35" hidden="false" customHeight="true" outlineLevel="0" collapsed="false">
      <c r="A1233" s="2" t="str">
        <f aca="false">HYPERLINK("https://www.fabsurplus.com/sdi_catalog/salesItemDetails.do?id=91425")</f>
        <v>https://www.fabsurplus.com/sdi_catalog/salesItemDetails.do?id=91425</v>
      </c>
      <c r="B1233" s="2" t="s">
        <v>3372</v>
      </c>
      <c r="C1233" s="2" t="s">
        <v>3340</v>
      </c>
      <c r="D1233" s="2" t="s">
        <v>3370</v>
      </c>
      <c r="E1233" s="2" t="s">
        <v>3373</v>
      </c>
      <c r="F1233" s="2" t="s">
        <v>16</v>
      </c>
      <c r="G1233" s="2"/>
      <c r="H1233" s="2"/>
      <c r="I1233" s="2"/>
      <c r="J1233" s="2" t="s">
        <v>19</v>
      </c>
      <c r="K1233" s="2"/>
      <c r="L1233" s="2" t="s">
        <v>112</v>
      </c>
    </row>
    <row r="1234" customFormat="false" ht="13.35" hidden="false" customHeight="true" outlineLevel="0" collapsed="false">
      <c r="A1234" s="5" t="str">
        <f aca="false">HYPERLINK("https://www.fabsurplus.com/sdi_catalog/salesItemDetails.do?id=91426")</f>
        <v>https://www.fabsurplus.com/sdi_catalog/salesItemDetails.do?id=91426</v>
      </c>
      <c r="B1234" s="5" t="s">
        <v>3374</v>
      </c>
      <c r="C1234" s="5" t="s">
        <v>3340</v>
      </c>
      <c r="D1234" s="5" t="s">
        <v>3370</v>
      </c>
      <c r="E1234" s="5" t="s">
        <v>3373</v>
      </c>
      <c r="F1234" s="5" t="s">
        <v>16</v>
      </c>
      <c r="G1234" s="5"/>
      <c r="H1234" s="5"/>
      <c r="I1234" s="5"/>
      <c r="J1234" s="5" t="s">
        <v>19</v>
      </c>
      <c r="K1234" s="5"/>
      <c r="L1234" s="5" t="s">
        <v>112</v>
      </c>
    </row>
    <row r="1235" customFormat="false" ht="13.35" hidden="false" customHeight="true" outlineLevel="0" collapsed="false">
      <c r="A1235" s="5" t="str">
        <f aca="false">HYPERLINK("https://www.fabsurplus.com/sdi_catalog/salesItemDetails.do?id=102246")</f>
        <v>https://www.fabsurplus.com/sdi_catalog/salesItemDetails.do?id=102246</v>
      </c>
      <c r="B1235" s="5" t="s">
        <v>3375</v>
      </c>
      <c r="C1235" s="5" t="s">
        <v>3340</v>
      </c>
      <c r="D1235" s="5" t="s">
        <v>3376</v>
      </c>
      <c r="E1235" s="5" t="s">
        <v>3371</v>
      </c>
      <c r="F1235" s="5" t="s">
        <v>16</v>
      </c>
      <c r="G1235" s="5" t="s">
        <v>36</v>
      </c>
      <c r="H1235" s="5"/>
      <c r="I1235" s="6" t="n">
        <v>36678</v>
      </c>
      <c r="J1235" s="5" t="s">
        <v>19</v>
      </c>
      <c r="K1235" s="5"/>
      <c r="L1235" s="5"/>
    </row>
    <row r="1236" customFormat="false" ht="13.35" hidden="false" customHeight="true" outlineLevel="0" collapsed="false">
      <c r="A1236" s="2" t="str">
        <f aca="false">HYPERLINK("https://www.fabsurplus.com/sdi_catalog/salesItemDetails.do?id=102247")</f>
        <v>https://www.fabsurplus.com/sdi_catalog/salesItemDetails.do?id=102247</v>
      </c>
      <c r="B1236" s="2" t="s">
        <v>3377</v>
      </c>
      <c r="C1236" s="2" t="s">
        <v>3340</v>
      </c>
      <c r="D1236" s="2" t="s">
        <v>3376</v>
      </c>
      <c r="E1236" s="2" t="s">
        <v>3371</v>
      </c>
      <c r="F1236" s="2" t="s">
        <v>16</v>
      </c>
      <c r="G1236" s="2" t="s">
        <v>36</v>
      </c>
      <c r="H1236" s="2"/>
      <c r="I1236" s="3" t="n">
        <v>37408</v>
      </c>
      <c r="J1236" s="2" t="s">
        <v>19</v>
      </c>
      <c r="K1236" s="2"/>
      <c r="L1236" s="2"/>
    </row>
    <row r="1237" customFormat="false" ht="13.35" hidden="false" customHeight="true" outlineLevel="0" collapsed="false">
      <c r="A1237" s="2" t="str">
        <f aca="false">HYPERLINK("https://www.fabsurplus.com/sdi_catalog/salesItemDetails.do?id=103158")</f>
        <v>https://www.fabsurplus.com/sdi_catalog/salesItemDetails.do?id=103158</v>
      </c>
      <c r="B1237" s="2" t="s">
        <v>3378</v>
      </c>
      <c r="C1237" s="2" t="s">
        <v>3379</v>
      </c>
      <c r="D1237" s="2" t="s">
        <v>3380</v>
      </c>
      <c r="E1237" s="2" t="s">
        <v>3050</v>
      </c>
      <c r="F1237" s="2" t="s">
        <v>16</v>
      </c>
      <c r="G1237" s="2"/>
      <c r="H1237" s="2"/>
      <c r="I1237" s="3" t="n">
        <v>42887</v>
      </c>
      <c r="J1237" s="2" t="s">
        <v>47</v>
      </c>
      <c r="K1237" s="2"/>
      <c r="L1237" s="4" t="s">
        <v>3381</v>
      </c>
    </row>
    <row r="1238" customFormat="false" ht="13.35" hidden="false" customHeight="true" outlineLevel="0" collapsed="false">
      <c r="A1238" s="2" t="str">
        <f aca="false">HYPERLINK("https://www.fabsurplus.com/sdi_catalog/salesItemDetails.do?id=87095")</f>
        <v>https://www.fabsurplus.com/sdi_catalog/salesItemDetails.do?id=87095</v>
      </c>
      <c r="B1238" s="2" t="s">
        <v>3382</v>
      </c>
      <c r="C1238" s="2" t="s">
        <v>3383</v>
      </c>
      <c r="D1238" s="2" t="s">
        <v>3384</v>
      </c>
      <c r="E1238" s="2" t="s">
        <v>3385</v>
      </c>
      <c r="F1238" s="2" t="s">
        <v>16</v>
      </c>
      <c r="G1238" s="2" t="s">
        <v>149</v>
      </c>
      <c r="H1238" s="2" t="s">
        <v>18</v>
      </c>
      <c r="I1238" s="3" t="n">
        <v>35582</v>
      </c>
      <c r="J1238" s="2" t="s">
        <v>19</v>
      </c>
      <c r="K1238" s="2" t="s">
        <v>20</v>
      </c>
      <c r="L1238" s="4" t="s">
        <v>3386</v>
      </c>
    </row>
    <row r="1239" customFormat="false" ht="13.35" hidden="false" customHeight="true" outlineLevel="0" collapsed="false">
      <c r="A1239" s="2" t="str">
        <f aca="false">HYPERLINK("https://www.fabsurplus.com/sdi_catalog/salesItemDetails.do?id=102248")</f>
        <v>https://www.fabsurplus.com/sdi_catalog/salesItemDetails.do?id=102248</v>
      </c>
      <c r="B1239" s="2" t="s">
        <v>3387</v>
      </c>
      <c r="C1239" s="2" t="s">
        <v>3388</v>
      </c>
      <c r="D1239" s="2" t="s">
        <v>3389</v>
      </c>
      <c r="E1239" s="2" t="s">
        <v>3390</v>
      </c>
      <c r="F1239" s="2" t="s">
        <v>16</v>
      </c>
      <c r="G1239" s="2" t="s">
        <v>36</v>
      </c>
      <c r="H1239" s="2"/>
      <c r="I1239" s="3" t="n">
        <v>38869</v>
      </c>
      <c r="J1239" s="2" t="s">
        <v>19</v>
      </c>
      <c r="K1239" s="2"/>
      <c r="L1239" s="2"/>
    </row>
    <row r="1240" customFormat="false" ht="13.35" hidden="false" customHeight="true" outlineLevel="0" collapsed="false">
      <c r="A1240" s="5" t="str">
        <f aca="false">HYPERLINK("https://www.fabsurplus.com/sdi_catalog/salesItemDetails.do?id=103093")</f>
        <v>https://www.fabsurplus.com/sdi_catalog/salesItemDetails.do?id=103093</v>
      </c>
      <c r="B1240" s="5" t="s">
        <v>3391</v>
      </c>
      <c r="C1240" s="5" t="s">
        <v>3388</v>
      </c>
      <c r="D1240" s="5" t="s">
        <v>3392</v>
      </c>
      <c r="E1240" s="5" t="s">
        <v>3393</v>
      </c>
      <c r="F1240" s="5" t="s">
        <v>16</v>
      </c>
      <c r="G1240" s="5" t="s">
        <v>862</v>
      </c>
      <c r="H1240" s="5"/>
      <c r="I1240" s="6" t="n">
        <v>39661</v>
      </c>
      <c r="J1240" s="5" t="s">
        <v>19</v>
      </c>
      <c r="K1240" s="5"/>
      <c r="L1240" s="7" t="s">
        <v>3394</v>
      </c>
    </row>
    <row r="1241" customFormat="false" ht="13.35" hidden="false" customHeight="true" outlineLevel="0" collapsed="false">
      <c r="A1241" s="5" t="str">
        <f aca="false">HYPERLINK("https://www.fabsurplus.com/sdi_catalog/salesItemDetails.do?id=91427")</f>
        <v>https://www.fabsurplus.com/sdi_catalog/salesItemDetails.do?id=91427</v>
      </c>
      <c r="B1241" s="5" t="s">
        <v>3395</v>
      </c>
      <c r="C1241" s="5" t="s">
        <v>3388</v>
      </c>
      <c r="D1241" s="5" t="s">
        <v>3392</v>
      </c>
      <c r="E1241" s="5" t="s">
        <v>3396</v>
      </c>
      <c r="F1241" s="5" t="s">
        <v>16</v>
      </c>
      <c r="G1241" s="5" t="s">
        <v>17</v>
      </c>
      <c r="H1241" s="5"/>
      <c r="I1241" s="5"/>
      <c r="J1241" s="5" t="s">
        <v>19</v>
      </c>
      <c r="K1241" s="5"/>
      <c r="L1241" s="5" t="s">
        <v>112</v>
      </c>
    </row>
    <row r="1242" customFormat="false" ht="13.35" hidden="false" customHeight="true" outlineLevel="0" collapsed="false">
      <c r="A1242" s="5" t="str">
        <f aca="false">HYPERLINK("https://www.fabsurplus.com/sdi_catalog/salesItemDetails.do?id=102249")</f>
        <v>https://www.fabsurplus.com/sdi_catalog/salesItemDetails.do?id=102249</v>
      </c>
      <c r="B1242" s="5" t="s">
        <v>3397</v>
      </c>
      <c r="C1242" s="5" t="s">
        <v>3388</v>
      </c>
      <c r="D1242" s="5" t="s">
        <v>3398</v>
      </c>
      <c r="E1242" s="5" t="s">
        <v>3399</v>
      </c>
      <c r="F1242" s="5" t="s">
        <v>16</v>
      </c>
      <c r="G1242" s="5" t="s">
        <v>17</v>
      </c>
      <c r="H1242" s="5"/>
      <c r="I1242" s="6" t="n">
        <v>38139</v>
      </c>
      <c r="J1242" s="5" t="s">
        <v>19</v>
      </c>
      <c r="K1242" s="5"/>
      <c r="L1242" s="5"/>
    </row>
    <row r="1243" customFormat="false" ht="13.35" hidden="false" customHeight="true" outlineLevel="0" collapsed="false">
      <c r="A1243" s="5" t="str">
        <f aca="false">HYPERLINK("https://www.fabsurplus.com/sdi_catalog/salesItemDetails.do?id=100917")</f>
        <v>https://www.fabsurplus.com/sdi_catalog/salesItemDetails.do?id=100917</v>
      </c>
      <c r="B1243" s="5" t="s">
        <v>3400</v>
      </c>
      <c r="C1243" s="5" t="s">
        <v>3388</v>
      </c>
      <c r="D1243" s="5" t="s">
        <v>3401</v>
      </c>
      <c r="E1243" s="5" t="s">
        <v>3402</v>
      </c>
      <c r="F1243" s="5" t="s">
        <v>16</v>
      </c>
      <c r="G1243" s="5" t="s">
        <v>17</v>
      </c>
      <c r="H1243" s="5"/>
      <c r="I1243" s="6" t="n">
        <v>40330</v>
      </c>
      <c r="J1243" s="5" t="s">
        <v>19</v>
      </c>
      <c r="K1243" s="5"/>
      <c r="L1243" s="5" t="s">
        <v>618</v>
      </c>
    </row>
    <row r="1244" customFormat="false" ht="13.35" hidden="false" customHeight="true" outlineLevel="0" collapsed="false">
      <c r="A1244" s="2" t="str">
        <f aca="false">HYPERLINK("https://www.fabsurplus.com/sdi_catalog/salesItemDetails.do?id=102250")</f>
        <v>https://www.fabsurplus.com/sdi_catalog/salesItemDetails.do?id=102250</v>
      </c>
      <c r="B1244" s="2" t="s">
        <v>3403</v>
      </c>
      <c r="C1244" s="2" t="s">
        <v>3388</v>
      </c>
      <c r="D1244" s="2" t="s">
        <v>3404</v>
      </c>
      <c r="E1244" s="2" t="s">
        <v>3405</v>
      </c>
      <c r="F1244" s="2" t="s">
        <v>16</v>
      </c>
      <c r="G1244" s="2" t="s">
        <v>17</v>
      </c>
      <c r="H1244" s="2"/>
      <c r="I1244" s="3" t="n">
        <v>40695</v>
      </c>
      <c r="J1244" s="2" t="s">
        <v>19</v>
      </c>
      <c r="K1244" s="2"/>
      <c r="L1244" s="2"/>
    </row>
    <row r="1245" customFormat="false" ht="13.35" hidden="false" customHeight="true" outlineLevel="0" collapsed="false">
      <c r="A1245" s="2" t="str">
        <f aca="false">HYPERLINK("https://www.fabsurplus.com/sdi_catalog/salesItemDetails.do?id=99830")</f>
        <v>https://www.fabsurplus.com/sdi_catalog/salesItemDetails.do?id=99830</v>
      </c>
      <c r="B1245" s="2" t="s">
        <v>3406</v>
      </c>
      <c r="C1245" s="2" t="s">
        <v>3407</v>
      </c>
      <c r="D1245" s="2" t="s">
        <v>3408</v>
      </c>
      <c r="E1245" s="2" t="s">
        <v>3409</v>
      </c>
      <c r="F1245" s="2" t="s">
        <v>16</v>
      </c>
      <c r="G1245" s="2" t="s">
        <v>17</v>
      </c>
      <c r="H1245" s="2" t="s">
        <v>26</v>
      </c>
      <c r="I1245" s="3" t="n">
        <v>40603</v>
      </c>
      <c r="J1245" s="2" t="s">
        <v>19</v>
      </c>
      <c r="K1245" s="2" t="s">
        <v>20</v>
      </c>
      <c r="L1245" s="4" t="s">
        <v>654</v>
      </c>
    </row>
    <row r="1246" customFormat="false" ht="13.35" hidden="false" customHeight="true" outlineLevel="0" collapsed="false">
      <c r="A1246" s="5" t="str">
        <f aca="false">HYPERLINK("https://www.fabsurplus.com/sdi_catalog/salesItemDetails.do?id=102252")</f>
        <v>https://www.fabsurplus.com/sdi_catalog/salesItemDetails.do?id=102252</v>
      </c>
      <c r="B1246" s="5" t="s">
        <v>3410</v>
      </c>
      <c r="C1246" s="5" t="s">
        <v>3388</v>
      </c>
      <c r="D1246" s="5" t="s">
        <v>3411</v>
      </c>
      <c r="E1246" s="5" t="s">
        <v>3405</v>
      </c>
      <c r="F1246" s="5" t="s">
        <v>16</v>
      </c>
      <c r="G1246" s="5" t="s">
        <v>17</v>
      </c>
      <c r="H1246" s="5"/>
      <c r="I1246" s="6" t="n">
        <v>41061</v>
      </c>
      <c r="J1246" s="5" t="s">
        <v>19</v>
      </c>
      <c r="K1246" s="5"/>
      <c r="L1246" s="5"/>
    </row>
    <row r="1247" customFormat="false" ht="13.35" hidden="false" customHeight="true" outlineLevel="0" collapsed="false">
      <c r="A1247" s="2" t="str">
        <f aca="false">HYPERLINK("https://www.fabsurplus.com/sdi_catalog/salesItemDetails.do?id=102253")</f>
        <v>https://www.fabsurplus.com/sdi_catalog/salesItemDetails.do?id=102253</v>
      </c>
      <c r="B1247" s="2" t="s">
        <v>3412</v>
      </c>
      <c r="C1247" s="2" t="s">
        <v>3388</v>
      </c>
      <c r="D1247" s="2" t="s">
        <v>3411</v>
      </c>
      <c r="E1247" s="2" t="s">
        <v>3405</v>
      </c>
      <c r="F1247" s="2" t="s">
        <v>16</v>
      </c>
      <c r="G1247" s="2" t="s">
        <v>17</v>
      </c>
      <c r="H1247" s="2"/>
      <c r="I1247" s="2"/>
      <c r="J1247" s="2" t="s">
        <v>19</v>
      </c>
      <c r="K1247" s="2"/>
      <c r="L1247" s="2"/>
    </row>
    <row r="1248" customFormat="false" ht="13.35" hidden="false" customHeight="true" outlineLevel="0" collapsed="false">
      <c r="A1248" s="2" t="str">
        <f aca="false">HYPERLINK("https://www.fabsurplus.com/sdi_catalog/salesItemDetails.do?id=102706")</f>
        <v>https://www.fabsurplus.com/sdi_catalog/salesItemDetails.do?id=102706</v>
      </c>
      <c r="B1248" s="2" t="s">
        <v>3413</v>
      </c>
      <c r="C1248" s="2" t="s">
        <v>3414</v>
      </c>
      <c r="D1248" s="2" t="s">
        <v>3415</v>
      </c>
      <c r="E1248" s="2" t="s">
        <v>1383</v>
      </c>
      <c r="F1248" s="2" t="s">
        <v>16</v>
      </c>
      <c r="G1248" s="2" t="s">
        <v>17</v>
      </c>
      <c r="H1248" s="2"/>
      <c r="I1248" s="3" t="n">
        <v>42186</v>
      </c>
      <c r="J1248" s="2" t="s">
        <v>19</v>
      </c>
      <c r="K1248" s="2"/>
      <c r="L1248" s="4" t="s">
        <v>3416</v>
      </c>
    </row>
    <row r="1249" customFormat="false" ht="13.35" hidden="false" customHeight="true" outlineLevel="0" collapsed="false">
      <c r="A1249" s="5" t="str">
        <f aca="false">HYPERLINK("https://www.fabsurplus.com/sdi_catalog/salesItemDetails.do?id=102707")</f>
        <v>https://www.fabsurplus.com/sdi_catalog/salesItemDetails.do?id=102707</v>
      </c>
      <c r="B1249" s="5" t="s">
        <v>3417</v>
      </c>
      <c r="C1249" s="5" t="s">
        <v>3414</v>
      </c>
      <c r="D1249" s="5" t="s">
        <v>3415</v>
      </c>
      <c r="E1249" s="5" t="s">
        <v>1383</v>
      </c>
      <c r="F1249" s="5" t="s">
        <v>16</v>
      </c>
      <c r="G1249" s="5" t="s">
        <v>17</v>
      </c>
      <c r="H1249" s="5"/>
      <c r="I1249" s="6" t="n">
        <v>42156</v>
      </c>
      <c r="J1249" s="5" t="s">
        <v>19</v>
      </c>
      <c r="K1249" s="5"/>
      <c r="L1249" s="7" t="s">
        <v>3418</v>
      </c>
    </row>
    <row r="1250" customFormat="false" ht="13.35" hidden="false" customHeight="true" outlineLevel="0" collapsed="false">
      <c r="A1250" s="5" t="str">
        <f aca="false">HYPERLINK("https://www.fabsurplus.com/sdi_catalog/salesItemDetails.do?id=33630")</f>
        <v>https://www.fabsurplus.com/sdi_catalog/salesItemDetails.do?id=33630</v>
      </c>
      <c r="B1250" s="5" t="s">
        <v>3419</v>
      </c>
      <c r="C1250" s="5" t="s">
        <v>3420</v>
      </c>
      <c r="D1250" s="5" t="s">
        <v>3421</v>
      </c>
      <c r="E1250" s="5" t="s">
        <v>3422</v>
      </c>
      <c r="F1250" s="5" t="s">
        <v>125</v>
      </c>
      <c r="G1250" s="5" t="s">
        <v>160</v>
      </c>
      <c r="H1250" s="5" t="s">
        <v>18</v>
      </c>
      <c r="I1250" s="5"/>
      <c r="J1250" s="5" t="s">
        <v>19</v>
      </c>
      <c r="K1250" s="5" t="s">
        <v>20</v>
      </c>
      <c r="L1250" s="5" t="s">
        <v>3423</v>
      </c>
    </row>
    <row r="1251" customFormat="false" ht="13.35" hidden="false" customHeight="true" outlineLevel="0" collapsed="false">
      <c r="A1251" s="2" t="str">
        <f aca="false">HYPERLINK("https://www.fabsurplus.com/sdi_catalog/salesItemDetails.do?id=99962")</f>
        <v>https://www.fabsurplus.com/sdi_catalog/salesItemDetails.do?id=99962</v>
      </c>
      <c r="B1251" s="2" t="s">
        <v>3424</v>
      </c>
      <c r="C1251" s="2" t="s">
        <v>3420</v>
      </c>
      <c r="D1251" s="2" t="s">
        <v>3425</v>
      </c>
      <c r="E1251" s="2" t="s">
        <v>3426</v>
      </c>
      <c r="F1251" s="2" t="s">
        <v>16</v>
      </c>
      <c r="G1251" s="2"/>
      <c r="H1251" s="2" t="s">
        <v>18</v>
      </c>
      <c r="I1251" s="2"/>
      <c r="J1251" s="2" t="s">
        <v>19</v>
      </c>
      <c r="K1251" s="2" t="s">
        <v>404</v>
      </c>
      <c r="L1251" s="4" t="s">
        <v>3427</v>
      </c>
    </row>
    <row r="1252" customFormat="false" ht="13.35" hidden="false" customHeight="true" outlineLevel="0" collapsed="false">
      <c r="A1252" s="2" t="str">
        <f aca="false">HYPERLINK("https://www.fabsurplus.com/sdi_catalog/salesItemDetails.do?id=91832")</f>
        <v>https://www.fabsurplus.com/sdi_catalog/salesItemDetails.do?id=91832</v>
      </c>
      <c r="B1252" s="2" t="s">
        <v>3428</v>
      </c>
      <c r="C1252" s="2" t="s">
        <v>3420</v>
      </c>
      <c r="D1252" s="2" t="s">
        <v>3429</v>
      </c>
      <c r="E1252" s="2" t="s">
        <v>3430</v>
      </c>
      <c r="F1252" s="2" t="s">
        <v>16</v>
      </c>
      <c r="G1252" s="2" t="s">
        <v>160</v>
      </c>
      <c r="H1252" s="2" t="s">
        <v>26</v>
      </c>
      <c r="I1252" s="3" t="n">
        <v>35582</v>
      </c>
      <c r="J1252" s="2" t="s">
        <v>19</v>
      </c>
      <c r="K1252" s="2" t="s">
        <v>20</v>
      </c>
      <c r="L1252" s="4" t="s">
        <v>3431</v>
      </c>
    </row>
    <row r="1253" customFormat="false" ht="13.35" hidden="false" customHeight="true" outlineLevel="0" collapsed="false">
      <c r="A1253" s="2" t="str">
        <f aca="false">HYPERLINK("https://www.fabsurplus.com/sdi_catalog/salesItemDetails.do?id=103030")</f>
        <v>https://www.fabsurplus.com/sdi_catalog/salesItemDetails.do?id=103030</v>
      </c>
      <c r="B1253" s="2" t="s">
        <v>3432</v>
      </c>
      <c r="C1253" s="2" t="s">
        <v>3420</v>
      </c>
      <c r="D1253" s="2" t="s">
        <v>3433</v>
      </c>
      <c r="E1253" s="2" t="s">
        <v>3434</v>
      </c>
      <c r="F1253" s="2" t="s">
        <v>16</v>
      </c>
      <c r="G1253" s="2" t="s">
        <v>499</v>
      </c>
      <c r="H1253" s="2"/>
      <c r="I1253" s="2"/>
      <c r="J1253" s="2" t="s">
        <v>19</v>
      </c>
      <c r="K1253" s="2"/>
      <c r="L1253" s="4" t="s">
        <v>3435</v>
      </c>
    </row>
    <row r="1254" customFormat="false" ht="13.35" hidden="false" customHeight="true" outlineLevel="0" collapsed="false">
      <c r="A1254" s="5" t="str">
        <f aca="false">HYPERLINK("https://www.fabsurplus.com/sdi_catalog/salesItemDetails.do?id=103031")</f>
        <v>https://www.fabsurplus.com/sdi_catalog/salesItemDetails.do?id=103031</v>
      </c>
      <c r="B1254" s="5" t="s">
        <v>3436</v>
      </c>
      <c r="C1254" s="5" t="s">
        <v>3420</v>
      </c>
      <c r="D1254" s="5" t="s">
        <v>3437</v>
      </c>
      <c r="E1254" s="5" t="s">
        <v>3438</v>
      </c>
      <c r="F1254" s="5" t="s">
        <v>16</v>
      </c>
      <c r="G1254" s="5" t="s">
        <v>499</v>
      </c>
      <c r="H1254" s="5"/>
      <c r="I1254" s="5"/>
      <c r="J1254" s="5" t="s">
        <v>19</v>
      </c>
      <c r="K1254" s="5"/>
      <c r="L1254" s="7" t="s">
        <v>3439</v>
      </c>
    </row>
    <row r="1255" customFormat="false" ht="13.35" hidden="false" customHeight="true" outlineLevel="0" collapsed="false">
      <c r="A1255" s="2" t="str">
        <f aca="false">HYPERLINK("https://www.fabsurplus.com/sdi_catalog/salesItemDetails.do?id=103032")</f>
        <v>https://www.fabsurplus.com/sdi_catalog/salesItemDetails.do?id=103032</v>
      </c>
      <c r="B1255" s="2" t="s">
        <v>3440</v>
      </c>
      <c r="C1255" s="2" t="s">
        <v>3420</v>
      </c>
      <c r="D1255" s="2" t="s">
        <v>3437</v>
      </c>
      <c r="E1255" s="2" t="s">
        <v>3438</v>
      </c>
      <c r="F1255" s="2" t="s">
        <v>16</v>
      </c>
      <c r="G1255" s="2" t="s">
        <v>499</v>
      </c>
      <c r="H1255" s="2"/>
      <c r="I1255" s="2"/>
      <c r="J1255" s="2" t="s">
        <v>19</v>
      </c>
      <c r="K1255" s="2"/>
      <c r="L1255" s="4" t="s">
        <v>3439</v>
      </c>
    </row>
    <row r="1256" customFormat="false" ht="13.35" hidden="false" customHeight="true" outlineLevel="0" collapsed="false">
      <c r="A1256" s="5" t="str">
        <f aca="false">HYPERLINK("https://www.fabsurplus.com/sdi_catalog/salesItemDetails.do?id=103033")</f>
        <v>https://www.fabsurplus.com/sdi_catalog/salesItemDetails.do?id=103033</v>
      </c>
      <c r="B1256" s="5" t="s">
        <v>3441</v>
      </c>
      <c r="C1256" s="5" t="s">
        <v>3420</v>
      </c>
      <c r="D1256" s="5" t="s">
        <v>3442</v>
      </c>
      <c r="E1256" s="5" t="s">
        <v>3443</v>
      </c>
      <c r="F1256" s="5" t="s">
        <v>16</v>
      </c>
      <c r="G1256" s="5" t="s">
        <v>499</v>
      </c>
      <c r="H1256" s="5"/>
      <c r="I1256" s="5"/>
      <c r="J1256" s="5" t="s">
        <v>19</v>
      </c>
      <c r="K1256" s="5"/>
      <c r="L1256" s="7" t="s">
        <v>3444</v>
      </c>
    </row>
    <row r="1257" customFormat="false" ht="13.35" hidden="false" customHeight="true" outlineLevel="0" collapsed="false">
      <c r="A1257" s="5" t="str">
        <f aca="false">HYPERLINK("https://www.fabsurplus.com/sdi_catalog/salesItemDetails.do?id=101613")</f>
        <v>https://www.fabsurplus.com/sdi_catalog/salesItemDetails.do?id=101613</v>
      </c>
      <c r="B1257" s="5" t="s">
        <v>3445</v>
      </c>
      <c r="C1257" s="5" t="s">
        <v>3420</v>
      </c>
      <c r="D1257" s="5" t="s">
        <v>3446</v>
      </c>
      <c r="E1257" s="5" t="s">
        <v>3447</v>
      </c>
      <c r="F1257" s="5" t="s">
        <v>16</v>
      </c>
      <c r="G1257" s="5"/>
      <c r="H1257" s="5" t="s">
        <v>26</v>
      </c>
      <c r="I1257" s="5"/>
      <c r="J1257" s="5" t="s">
        <v>19</v>
      </c>
      <c r="K1257" s="5" t="s">
        <v>20</v>
      </c>
      <c r="L1257" s="7" t="s">
        <v>3448</v>
      </c>
    </row>
    <row r="1258" customFormat="false" ht="13.35" hidden="false" customHeight="true" outlineLevel="0" collapsed="false">
      <c r="A1258" s="5" t="str">
        <f aca="false">HYPERLINK("https://www.fabsurplus.com/sdi_catalog/salesItemDetails.do?id=99415")</f>
        <v>https://www.fabsurplus.com/sdi_catalog/salesItemDetails.do?id=99415</v>
      </c>
      <c r="B1258" s="5" t="s">
        <v>3449</v>
      </c>
      <c r="C1258" s="5" t="s">
        <v>3420</v>
      </c>
      <c r="D1258" s="5" t="s">
        <v>3446</v>
      </c>
      <c r="E1258" s="5" t="s">
        <v>3450</v>
      </c>
      <c r="F1258" s="5" t="s">
        <v>16</v>
      </c>
      <c r="G1258" s="5" t="s">
        <v>160</v>
      </c>
      <c r="H1258" s="5"/>
      <c r="I1258" s="5"/>
      <c r="J1258" s="5" t="s">
        <v>19</v>
      </c>
      <c r="K1258" s="5"/>
      <c r="L1258" s="7" t="s">
        <v>3451</v>
      </c>
    </row>
    <row r="1259" customFormat="false" ht="13.35" hidden="false" customHeight="true" outlineLevel="0" collapsed="false">
      <c r="A1259" s="2" t="str">
        <f aca="false">HYPERLINK("https://www.fabsurplus.com/sdi_catalog/salesItemDetails.do?id=35571")</f>
        <v>https://www.fabsurplus.com/sdi_catalog/salesItemDetails.do?id=35571</v>
      </c>
      <c r="B1259" s="2" t="s">
        <v>3452</v>
      </c>
      <c r="C1259" s="2" t="s">
        <v>3420</v>
      </c>
      <c r="D1259" s="2" t="s">
        <v>3453</v>
      </c>
      <c r="E1259" s="2" t="s">
        <v>3454</v>
      </c>
      <c r="F1259" s="2" t="s">
        <v>16</v>
      </c>
      <c r="G1259" s="2"/>
      <c r="H1259" s="2"/>
      <c r="I1259" s="2"/>
      <c r="J1259" s="2" t="s">
        <v>47</v>
      </c>
      <c r="K1259" s="2"/>
      <c r="L1259" s="2"/>
    </row>
    <row r="1260" customFormat="false" ht="13.35" hidden="false" customHeight="true" outlineLevel="0" collapsed="false">
      <c r="A1260" s="2" t="str">
        <f aca="false">HYPERLINK("https://www.fabsurplus.com/sdi_catalog/salesItemDetails.do?id=99416")</f>
        <v>https://www.fabsurplus.com/sdi_catalog/salesItemDetails.do?id=99416</v>
      </c>
      <c r="B1260" s="2" t="s">
        <v>3455</v>
      </c>
      <c r="C1260" s="2" t="s">
        <v>3420</v>
      </c>
      <c r="D1260" s="2" t="s">
        <v>3456</v>
      </c>
      <c r="E1260" s="2" t="s">
        <v>3457</v>
      </c>
      <c r="F1260" s="2" t="s">
        <v>16</v>
      </c>
      <c r="G1260" s="2" t="s">
        <v>160</v>
      </c>
      <c r="H1260" s="2"/>
      <c r="I1260" s="2"/>
      <c r="J1260" s="2" t="s">
        <v>19</v>
      </c>
      <c r="K1260" s="2"/>
      <c r="L1260" s="4" t="s">
        <v>3458</v>
      </c>
    </row>
    <row r="1261" customFormat="false" ht="13.35" hidden="false" customHeight="true" outlineLevel="0" collapsed="false">
      <c r="A1261" s="2" t="str">
        <f aca="false">HYPERLINK("https://www.fabsurplus.com/sdi_catalog/salesItemDetails.do?id=100644")</f>
        <v>https://www.fabsurplus.com/sdi_catalog/salesItemDetails.do?id=100644</v>
      </c>
      <c r="B1261" s="2" t="s">
        <v>3459</v>
      </c>
      <c r="C1261" s="2" t="s">
        <v>3420</v>
      </c>
      <c r="D1261" s="2" t="s">
        <v>3460</v>
      </c>
      <c r="E1261" s="2" t="s">
        <v>2222</v>
      </c>
      <c r="F1261" s="2" t="s">
        <v>58</v>
      </c>
      <c r="G1261" s="2"/>
      <c r="H1261" s="2"/>
      <c r="I1261" s="2"/>
      <c r="J1261" s="2" t="s">
        <v>19</v>
      </c>
      <c r="K1261" s="2"/>
      <c r="L1261" s="2" t="s">
        <v>474</v>
      </c>
    </row>
    <row r="1262" customFormat="false" ht="13.35" hidden="false" customHeight="true" outlineLevel="0" collapsed="false">
      <c r="A1262" s="5" t="str">
        <f aca="false">HYPERLINK("https://www.fabsurplus.com/sdi_catalog/salesItemDetails.do?id=100645")</f>
        <v>https://www.fabsurplus.com/sdi_catalog/salesItemDetails.do?id=100645</v>
      </c>
      <c r="B1262" s="5" t="s">
        <v>3461</v>
      </c>
      <c r="C1262" s="5" t="s">
        <v>3420</v>
      </c>
      <c r="D1262" s="5" t="s">
        <v>3460</v>
      </c>
      <c r="E1262" s="5" t="s">
        <v>2222</v>
      </c>
      <c r="F1262" s="5" t="s">
        <v>16</v>
      </c>
      <c r="G1262" s="5"/>
      <c r="H1262" s="5"/>
      <c r="I1262" s="5"/>
      <c r="J1262" s="5" t="s">
        <v>19</v>
      </c>
      <c r="K1262" s="5"/>
      <c r="L1262" s="5" t="s">
        <v>474</v>
      </c>
    </row>
    <row r="1263" customFormat="false" ht="13.35" hidden="false" customHeight="true" outlineLevel="0" collapsed="false">
      <c r="A1263" s="2" t="str">
        <f aca="false">HYPERLINK("https://www.fabsurplus.com/sdi_catalog/salesItemDetails.do?id=61186")</f>
        <v>https://www.fabsurplus.com/sdi_catalog/salesItemDetails.do?id=61186</v>
      </c>
      <c r="B1263" s="2" t="s">
        <v>3462</v>
      </c>
      <c r="C1263" s="2" t="s">
        <v>3420</v>
      </c>
      <c r="D1263" s="2" t="s">
        <v>3463</v>
      </c>
      <c r="E1263" s="2" t="s">
        <v>3464</v>
      </c>
      <c r="F1263" s="2" t="s">
        <v>16</v>
      </c>
      <c r="G1263" s="2"/>
      <c r="H1263" s="2"/>
      <c r="I1263" s="2"/>
      <c r="J1263" s="2" t="s">
        <v>19</v>
      </c>
      <c r="K1263" s="2"/>
      <c r="L1263" s="2"/>
    </row>
    <row r="1264" customFormat="false" ht="13.35" hidden="false" customHeight="true" outlineLevel="0" collapsed="false">
      <c r="A1264" s="2" t="str">
        <f aca="false">HYPERLINK("https://www.fabsurplus.com/sdi_catalog/salesItemDetails.do?id=99393")</f>
        <v>https://www.fabsurplus.com/sdi_catalog/salesItemDetails.do?id=99393</v>
      </c>
      <c r="B1264" s="2" t="s">
        <v>3465</v>
      </c>
      <c r="C1264" s="2" t="s">
        <v>3420</v>
      </c>
      <c r="D1264" s="2" t="s">
        <v>3466</v>
      </c>
      <c r="E1264" s="2" t="s">
        <v>2222</v>
      </c>
      <c r="F1264" s="2" t="s">
        <v>16</v>
      </c>
      <c r="G1264" s="2"/>
      <c r="H1264" s="2" t="s">
        <v>26</v>
      </c>
      <c r="I1264" s="3" t="n">
        <v>36982</v>
      </c>
      <c r="J1264" s="2" t="s">
        <v>19</v>
      </c>
      <c r="K1264" s="2" t="s">
        <v>20</v>
      </c>
      <c r="L1264" s="4" t="s">
        <v>3467</v>
      </c>
    </row>
    <row r="1265" customFormat="false" ht="13.35" hidden="false" customHeight="true" outlineLevel="0" collapsed="false">
      <c r="A1265" s="5" t="str">
        <f aca="false">HYPERLINK("https://www.fabsurplus.com/sdi_catalog/salesItemDetails.do?id=92702")</f>
        <v>https://www.fabsurplus.com/sdi_catalog/salesItemDetails.do?id=92702</v>
      </c>
      <c r="B1265" s="5" t="s">
        <v>3468</v>
      </c>
      <c r="C1265" s="5" t="s">
        <v>3420</v>
      </c>
      <c r="D1265" s="5" t="s">
        <v>3469</v>
      </c>
      <c r="E1265" s="5" t="s">
        <v>3470</v>
      </c>
      <c r="F1265" s="5" t="s">
        <v>1995</v>
      </c>
      <c r="G1265" s="5" t="s">
        <v>499</v>
      </c>
      <c r="H1265" s="5" t="s">
        <v>26</v>
      </c>
      <c r="I1265" s="6" t="n">
        <v>38504</v>
      </c>
      <c r="J1265" s="5" t="s">
        <v>19</v>
      </c>
      <c r="K1265" s="5" t="s">
        <v>20</v>
      </c>
      <c r="L1265" s="5" t="s">
        <v>112</v>
      </c>
    </row>
    <row r="1266" customFormat="false" ht="13.35" hidden="false" customHeight="true" outlineLevel="0" collapsed="false">
      <c r="A1266" s="5" t="str">
        <f aca="false">HYPERLINK("https://www.fabsurplus.com/sdi_catalog/salesItemDetails.do?id=101800")</f>
        <v>https://www.fabsurplus.com/sdi_catalog/salesItemDetails.do?id=101800</v>
      </c>
      <c r="B1266" s="5" t="s">
        <v>3471</v>
      </c>
      <c r="C1266" s="5" t="s">
        <v>3420</v>
      </c>
      <c r="D1266" s="5" t="s">
        <v>3472</v>
      </c>
      <c r="E1266" s="5" t="s">
        <v>2723</v>
      </c>
      <c r="F1266" s="5" t="s">
        <v>609</v>
      </c>
      <c r="G1266" s="5" t="s">
        <v>3473</v>
      </c>
      <c r="H1266" s="5"/>
      <c r="I1266" s="6" t="n">
        <v>38626</v>
      </c>
      <c r="J1266" s="5" t="s">
        <v>47</v>
      </c>
      <c r="K1266" s="5"/>
      <c r="L1266" s="5"/>
    </row>
    <row r="1267" customFormat="false" ht="13.35" hidden="false" customHeight="true" outlineLevel="0" collapsed="false">
      <c r="A1267" s="2" t="str">
        <f aca="false">HYPERLINK("https://www.fabsurplus.com/sdi_catalog/salesItemDetails.do?id=92703")</f>
        <v>https://www.fabsurplus.com/sdi_catalog/salesItemDetails.do?id=92703</v>
      </c>
      <c r="B1267" s="2" t="s">
        <v>3474</v>
      </c>
      <c r="C1267" s="2" t="s">
        <v>3420</v>
      </c>
      <c r="D1267" s="2" t="s">
        <v>3475</v>
      </c>
      <c r="E1267" s="2" t="s">
        <v>3470</v>
      </c>
      <c r="F1267" s="2" t="s">
        <v>16</v>
      </c>
      <c r="G1267" s="2" t="s">
        <v>499</v>
      </c>
      <c r="H1267" s="2" t="s">
        <v>592</v>
      </c>
      <c r="I1267" s="3" t="n">
        <v>39234</v>
      </c>
      <c r="J1267" s="2" t="s">
        <v>19</v>
      </c>
      <c r="K1267" s="2" t="s">
        <v>20</v>
      </c>
      <c r="L1267" s="2" t="s">
        <v>3476</v>
      </c>
    </row>
    <row r="1268" customFormat="false" ht="13.35" hidden="false" customHeight="true" outlineLevel="0" collapsed="false">
      <c r="A1268" s="5" t="str">
        <f aca="false">HYPERLINK("https://www.fabsurplus.com/sdi_catalog/salesItemDetails.do?id=92704")</f>
        <v>https://www.fabsurplus.com/sdi_catalog/salesItemDetails.do?id=92704</v>
      </c>
      <c r="B1268" s="5" t="s">
        <v>3477</v>
      </c>
      <c r="C1268" s="5" t="s">
        <v>3420</v>
      </c>
      <c r="D1268" s="5" t="s">
        <v>3475</v>
      </c>
      <c r="E1268" s="5" t="s">
        <v>3470</v>
      </c>
      <c r="F1268" s="5" t="s">
        <v>16</v>
      </c>
      <c r="G1268" s="5" t="s">
        <v>499</v>
      </c>
      <c r="H1268" s="5" t="s">
        <v>592</v>
      </c>
      <c r="I1268" s="6" t="n">
        <v>39234</v>
      </c>
      <c r="J1268" s="5" t="s">
        <v>19</v>
      </c>
      <c r="K1268" s="5" t="s">
        <v>20</v>
      </c>
      <c r="L1268" s="5" t="s">
        <v>3476</v>
      </c>
    </row>
    <row r="1269" customFormat="false" ht="13.35" hidden="false" customHeight="true" outlineLevel="0" collapsed="false">
      <c r="A1269" s="5" t="str">
        <f aca="false">HYPERLINK("https://www.fabsurplus.com/sdi_catalog/salesItemDetails.do?id=103094")</f>
        <v>https://www.fabsurplus.com/sdi_catalog/salesItemDetails.do?id=103094</v>
      </c>
      <c r="B1269" s="5" t="s">
        <v>3478</v>
      </c>
      <c r="C1269" s="5" t="s">
        <v>3479</v>
      </c>
      <c r="D1269" s="5" t="s">
        <v>3480</v>
      </c>
      <c r="E1269" s="5" t="s">
        <v>3481</v>
      </c>
      <c r="F1269" s="5" t="s">
        <v>16</v>
      </c>
      <c r="G1269" s="5" t="s">
        <v>658</v>
      </c>
      <c r="H1269" s="5"/>
      <c r="I1269" s="5"/>
      <c r="J1269" s="5" t="s">
        <v>19</v>
      </c>
      <c r="K1269" s="5"/>
      <c r="L1269" s="7" t="s">
        <v>3482</v>
      </c>
    </row>
    <row r="1270" customFormat="false" ht="13.35" hidden="false" customHeight="true" outlineLevel="0" collapsed="false">
      <c r="A1270" s="2" t="str">
        <f aca="false">HYPERLINK("https://www.fabsurplus.com/sdi_catalog/salesItemDetails.do?id=93306")</f>
        <v>https://www.fabsurplus.com/sdi_catalog/salesItemDetails.do?id=93306</v>
      </c>
      <c r="B1270" s="2" t="s">
        <v>3483</v>
      </c>
      <c r="C1270" s="2" t="s">
        <v>3484</v>
      </c>
      <c r="D1270" s="2" t="s">
        <v>3485</v>
      </c>
      <c r="E1270" s="2" t="s">
        <v>2475</v>
      </c>
      <c r="F1270" s="2" t="s">
        <v>16</v>
      </c>
      <c r="G1270" s="2" t="s">
        <v>154</v>
      </c>
      <c r="H1270" s="2"/>
      <c r="I1270" s="2"/>
      <c r="J1270" s="2" t="s">
        <v>19</v>
      </c>
      <c r="K1270" s="2"/>
      <c r="L1270" s="2" t="s">
        <v>112</v>
      </c>
    </row>
    <row r="1271" customFormat="false" ht="13.35" hidden="false" customHeight="true" outlineLevel="0" collapsed="false">
      <c r="A1271" s="2" t="str">
        <f aca="false">HYPERLINK("https://www.fabsurplus.com/sdi_catalog/salesItemDetails.do?id=102254")</f>
        <v>https://www.fabsurplus.com/sdi_catalog/salesItemDetails.do?id=102254</v>
      </c>
      <c r="B1271" s="2" t="s">
        <v>3486</v>
      </c>
      <c r="C1271" s="2" t="s">
        <v>3487</v>
      </c>
      <c r="D1271" s="2" t="s">
        <v>3488</v>
      </c>
      <c r="E1271" s="2" t="s">
        <v>3489</v>
      </c>
      <c r="F1271" s="2" t="s">
        <v>16</v>
      </c>
      <c r="G1271" s="2" t="s">
        <v>36</v>
      </c>
      <c r="H1271" s="2"/>
      <c r="I1271" s="3" t="n">
        <v>41426</v>
      </c>
      <c r="J1271" s="2" t="s">
        <v>19</v>
      </c>
      <c r="K1271" s="2"/>
      <c r="L1271" s="2"/>
    </row>
    <row r="1272" customFormat="false" ht="13.35" hidden="false" customHeight="true" outlineLevel="0" collapsed="false">
      <c r="A1272" s="5" t="str">
        <f aca="false">HYPERLINK("https://www.fabsurplus.com/sdi_catalog/salesItemDetails.do?id=102944")</f>
        <v>https://www.fabsurplus.com/sdi_catalog/salesItemDetails.do?id=102944</v>
      </c>
      <c r="B1272" s="5" t="s">
        <v>3490</v>
      </c>
      <c r="C1272" s="5" t="s">
        <v>3491</v>
      </c>
      <c r="D1272" s="5" t="s">
        <v>3492</v>
      </c>
      <c r="E1272" s="5" t="s">
        <v>3493</v>
      </c>
      <c r="F1272" s="5" t="s">
        <v>16</v>
      </c>
      <c r="G1272" s="5" t="s">
        <v>3494</v>
      </c>
      <c r="H1272" s="5" t="s">
        <v>18</v>
      </c>
      <c r="I1272" s="6" t="n">
        <v>37043</v>
      </c>
      <c r="J1272" s="5" t="s">
        <v>19</v>
      </c>
      <c r="K1272" s="5" t="s">
        <v>20</v>
      </c>
      <c r="L1272" s="7" t="s">
        <v>3495</v>
      </c>
    </row>
    <row r="1273" customFormat="false" ht="13.35" hidden="false" customHeight="true" outlineLevel="0" collapsed="false">
      <c r="A1273" s="5" t="str">
        <f aca="false">HYPERLINK("https://www.fabsurplus.com/sdi_catalog/salesItemDetails.do?id=102255")</f>
        <v>https://www.fabsurplus.com/sdi_catalog/salesItemDetails.do?id=102255</v>
      </c>
      <c r="B1273" s="5" t="s">
        <v>3496</v>
      </c>
      <c r="C1273" s="5" t="s">
        <v>3487</v>
      </c>
      <c r="D1273" s="5" t="s">
        <v>3497</v>
      </c>
      <c r="E1273" s="5" t="s">
        <v>3489</v>
      </c>
      <c r="F1273" s="5" t="s">
        <v>16</v>
      </c>
      <c r="G1273" s="5" t="s">
        <v>36</v>
      </c>
      <c r="H1273" s="5"/>
      <c r="I1273" s="6" t="n">
        <v>40695</v>
      </c>
      <c r="J1273" s="5" t="s">
        <v>19</v>
      </c>
      <c r="K1273" s="5"/>
      <c r="L1273" s="5"/>
    </row>
    <row r="1274" customFormat="false" ht="13.35" hidden="false" customHeight="true" outlineLevel="0" collapsed="false">
      <c r="A1274" s="5" t="str">
        <f aca="false">HYPERLINK("https://www.fabsurplus.com/sdi_catalog/salesItemDetails.do?id=90238")</f>
        <v>https://www.fabsurplus.com/sdi_catalog/salesItemDetails.do?id=90238</v>
      </c>
      <c r="B1274" s="5" t="s">
        <v>3498</v>
      </c>
      <c r="C1274" s="5" t="s">
        <v>3491</v>
      </c>
      <c r="D1274" s="5" t="s">
        <v>3499</v>
      </c>
      <c r="E1274" s="5" t="s">
        <v>2804</v>
      </c>
      <c r="F1274" s="5" t="s">
        <v>16</v>
      </c>
      <c r="G1274" s="5"/>
      <c r="H1274" s="5" t="s">
        <v>26</v>
      </c>
      <c r="I1274" s="5"/>
      <c r="J1274" s="5" t="s">
        <v>19</v>
      </c>
      <c r="K1274" s="5" t="s">
        <v>20</v>
      </c>
      <c r="L1274" s="7" t="s">
        <v>3500</v>
      </c>
    </row>
    <row r="1275" customFormat="false" ht="13.35" hidden="false" customHeight="true" outlineLevel="0" collapsed="false">
      <c r="A1275" s="2" t="str">
        <f aca="false">HYPERLINK("https://www.fabsurplus.com/sdi_catalog/salesItemDetails.do?id=99394")</f>
        <v>https://www.fabsurplus.com/sdi_catalog/salesItemDetails.do?id=99394</v>
      </c>
      <c r="B1275" s="2" t="s">
        <v>3501</v>
      </c>
      <c r="C1275" s="2" t="s">
        <v>3491</v>
      </c>
      <c r="D1275" s="2" t="s">
        <v>3502</v>
      </c>
      <c r="E1275" s="2" t="s">
        <v>3503</v>
      </c>
      <c r="F1275" s="2" t="s">
        <v>16</v>
      </c>
      <c r="G1275" s="2" t="s">
        <v>402</v>
      </c>
      <c r="H1275" s="2" t="s">
        <v>592</v>
      </c>
      <c r="I1275" s="2"/>
      <c r="J1275" s="2" t="s">
        <v>19</v>
      </c>
      <c r="K1275" s="2" t="s">
        <v>20</v>
      </c>
      <c r="L1275" s="4" t="s">
        <v>3504</v>
      </c>
    </row>
    <row r="1276" customFormat="false" ht="13.35" hidden="false" customHeight="true" outlineLevel="0" collapsed="false">
      <c r="A1276" s="5" t="str">
        <f aca="false">HYPERLINK("https://www.fabsurplus.com/sdi_catalog/salesItemDetails.do?id=98398")</f>
        <v>https://www.fabsurplus.com/sdi_catalog/salesItemDetails.do?id=98398</v>
      </c>
      <c r="B1276" s="5" t="s">
        <v>3505</v>
      </c>
      <c r="C1276" s="5" t="s">
        <v>3487</v>
      </c>
      <c r="D1276" s="5" t="s">
        <v>3506</v>
      </c>
      <c r="E1276" s="5" t="s">
        <v>3507</v>
      </c>
      <c r="F1276" s="5" t="s">
        <v>125</v>
      </c>
      <c r="G1276" s="5" t="s">
        <v>493</v>
      </c>
      <c r="H1276" s="5"/>
      <c r="I1276" s="5"/>
      <c r="J1276" s="5" t="s">
        <v>19</v>
      </c>
      <c r="K1276" s="5"/>
      <c r="L1276" s="5" t="s">
        <v>893</v>
      </c>
    </row>
    <row r="1277" customFormat="false" ht="13.35" hidden="false" customHeight="true" outlineLevel="0" collapsed="false">
      <c r="A1277" s="5" t="str">
        <f aca="false">HYPERLINK("https://www.fabsurplus.com/sdi_catalog/salesItemDetails.do?id=103004")</f>
        <v>https://www.fabsurplus.com/sdi_catalog/salesItemDetails.do?id=103004</v>
      </c>
      <c r="B1277" s="5" t="s">
        <v>3508</v>
      </c>
      <c r="C1277" s="5" t="s">
        <v>3487</v>
      </c>
      <c r="D1277" s="5" t="s">
        <v>3509</v>
      </c>
      <c r="E1277" s="5" t="s">
        <v>3510</v>
      </c>
      <c r="F1277" s="5" t="s">
        <v>16</v>
      </c>
      <c r="G1277" s="5" t="s">
        <v>493</v>
      </c>
      <c r="H1277" s="5"/>
      <c r="I1277" s="5"/>
      <c r="J1277" s="5" t="s">
        <v>19</v>
      </c>
      <c r="K1277" s="5"/>
      <c r="L1277" s="5"/>
    </row>
    <row r="1278" customFormat="false" ht="13.35" hidden="false" customHeight="true" outlineLevel="0" collapsed="false">
      <c r="A1278" s="5" t="str">
        <f aca="false">HYPERLINK("https://www.fabsurplus.com/sdi_catalog/salesItemDetails.do?id=97103")</f>
        <v>https://www.fabsurplus.com/sdi_catalog/salesItemDetails.do?id=97103</v>
      </c>
      <c r="B1278" s="5" t="s">
        <v>3511</v>
      </c>
      <c r="C1278" s="5" t="s">
        <v>3487</v>
      </c>
      <c r="D1278" s="5" t="s">
        <v>3512</v>
      </c>
      <c r="E1278" s="5" t="s">
        <v>2804</v>
      </c>
      <c r="F1278" s="5" t="s">
        <v>16</v>
      </c>
      <c r="G1278" s="5" t="s">
        <v>3513</v>
      </c>
      <c r="H1278" s="5" t="s">
        <v>18</v>
      </c>
      <c r="I1278" s="6" t="n">
        <v>35217</v>
      </c>
      <c r="J1278" s="5" t="s">
        <v>19</v>
      </c>
      <c r="K1278" s="5" t="s">
        <v>20</v>
      </c>
      <c r="L1278" s="7" t="s">
        <v>3514</v>
      </c>
    </row>
    <row r="1279" customFormat="false" ht="13.35" hidden="false" customHeight="true" outlineLevel="0" collapsed="false">
      <c r="A1279" s="5" t="str">
        <f aca="false">HYPERLINK("https://www.fabsurplus.com/sdi_catalog/salesItemDetails.do?id=100939")</f>
        <v>https://www.fabsurplus.com/sdi_catalog/salesItemDetails.do?id=100939</v>
      </c>
      <c r="B1279" s="5" t="s">
        <v>3515</v>
      </c>
      <c r="C1279" s="5" t="s">
        <v>3487</v>
      </c>
      <c r="D1279" s="5" t="s">
        <v>3516</v>
      </c>
      <c r="E1279" s="5" t="s">
        <v>3517</v>
      </c>
      <c r="F1279" s="5" t="s">
        <v>125</v>
      </c>
      <c r="G1279" s="5"/>
      <c r="H1279" s="5" t="s">
        <v>26</v>
      </c>
      <c r="I1279" s="5"/>
      <c r="J1279" s="5" t="s">
        <v>19</v>
      </c>
      <c r="K1279" s="5" t="s">
        <v>20</v>
      </c>
      <c r="L1279" s="7" t="s">
        <v>3518</v>
      </c>
    </row>
    <row r="1280" customFormat="false" ht="13.35" hidden="false" customHeight="true" outlineLevel="0" collapsed="false">
      <c r="A1280" s="2" t="str">
        <f aca="false">HYPERLINK("https://www.fabsurplus.com/sdi_catalog/salesItemDetails.do?id=100707")</f>
        <v>https://www.fabsurplus.com/sdi_catalog/salesItemDetails.do?id=100707</v>
      </c>
      <c r="B1280" s="2" t="s">
        <v>3519</v>
      </c>
      <c r="C1280" s="2" t="s">
        <v>3487</v>
      </c>
      <c r="D1280" s="2" t="s">
        <v>3520</v>
      </c>
      <c r="E1280" s="2" t="s">
        <v>2804</v>
      </c>
      <c r="F1280" s="2" t="s">
        <v>16</v>
      </c>
      <c r="G1280" s="2"/>
      <c r="H1280" s="2"/>
      <c r="I1280" s="2"/>
      <c r="J1280" s="2" t="s">
        <v>19</v>
      </c>
      <c r="K1280" s="2"/>
      <c r="L1280" s="2" t="s">
        <v>584</v>
      </c>
    </row>
    <row r="1281" customFormat="false" ht="13.35" hidden="false" customHeight="true" outlineLevel="0" collapsed="false">
      <c r="A1281" s="5" t="str">
        <f aca="false">HYPERLINK("https://www.fabsurplus.com/sdi_catalog/salesItemDetails.do?id=101341")</f>
        <v>https://www.fabsurplus.com/sdi_catalog/salesItemDetails.do?id=101341</v>
      </c>
      <c r="B1281" s="5" t="s">
        <v>3521</v>
      </c>
      <c r="C1281" s="5" t="s">
        <v>3487</v>
      </c>
      <c r="D1281" s="5" t="s">
        <v>3522</v>
      </c>
      <c r="E1281" s="5" t="s">
        <v>2804</v>
      </c>
      <c r="F1281" s="5" t="s">
        <v>16</v>
      </c>
      <c r="G1281" s="5" t="s">
        <v>2640</v>
      </c>
      <c r="H1281" s="5"/>
      <c r="I1281" s="5"/>
      <c r="J1281" s="5" t="s">
        <v>19</v>
      </c>
      <c r="K1281" s="5"/>
      <c r="L1281" s="5"/>
    </row>
    <row r="1282" customFormat="false" ht="13.35" hidden="false" customHeight="true" outlineLevel="0" collapsed="false">
      <c r="A1282" s="2" t="str">
        <f aca="false">HYPERLINK("https://www.fabsurplus.com/sdi_catalog/salesItemDetails.do?id=102256")</f>
        <v>https://www.fabsurplus.com/sdi_catalog/salesItemDetails.do?id=102256</v>
      </c>
      <c r="B1282" s="2" t="s">
        <v>3523</v>
      </c>
      <c r="C1282" s="2" t="s">
        <v>3487</v>
      </c>
      <c r="D1282" s="2" t="s">
        <v>3524</v>
      </c>
      <c r="E1282" s="2" t="s">
        <v>2804</v>
      </c>
      <c r="F1282" s="2" t="s">
        <v>16</v>
      </c>
      <c r="G1282" s="2" t="s">
        <v>36</v>
      </c>
      <c r="H1282" s="2"/>
      <c r="I1282" s="3" t="n">
        <v>41061</v>
      </c>
      <c r="J1282" s="2" t="s">
        <v>19</v>
      </c>
      <c r="K1282" s="2"/>
      <c r="L1282" s="2"/>
    </row>
    <row r="1283" customFormat="false" ht="13.35" hidden="false" customHeight="true" outlineLevel="0" collapsed="false">
      <c r="A1283" s="5" t="str">
        <f aca="false">HYPERLINK("https://www.fabsurplus.com/sdi_catalog/salesItemDetails.do?id=99392")</f>
        <v>https://www.fabsurplus.com/sdi_catalog/salesItemDetails.do?id=99392</v>
      </c>
      <c r="B1283" s="5" t="s">
        <v>3525</v>
      </c>
      <c r="C1283" s="5" t="s">
        <v>3491</v>
      </c>
      <c r="D1283" s="5" t="s">
        <v>3526</v>
      </c>
      <c r="E1283" s="5" t="s">
        <v>2804</v>
      </c>
      <c r="F1283" s="5" t="s">
        <v>16</v>
      </c>
      <c r="G1283" s="5"/>
      <c r="H1283" s="5" t="s">
        <v>26</v>
      </c>
      <c r="I1283" s="5"/>
      <c r="J1283" s="5" t="s">
        <v>19</v>
      </c>
      <c r="K1283" s="5" t="s">
        <v>20</v>
      </c>
      <c r="L1283" s="7" t="s">
        <v>3527</v>
      </c>
    </row>
    <row r="1284" customFormat="false" ht="13.35" hidden="false" customHeight="true" outlineLevel="0" collapsed="false">
      <c r="A1284" s="2" t="str">
        <f aca="false">HYPERLINK("https://www.fabsurplus.com/sdi_catalog/salesItemDetails.do?id=96389")</f>
        <v>https://www.fabsurplus.com/sdi_catalog/salesItemDetails.do?id=96389</v>
      </c>
      <c r="B1284" s="2" t="s">
        <v>3528</v>
      </c>
      <c r="C1284" s="2" t="s">
        <v>3491</v>
      </c>
      <c r="D1284" s="2" t="s">
        <v>3529</v>
      </c>
      <c r="E1284" s="2" t="s">
        <v>2804</v>
      </c>
      <c r="F1284" s="2" t="s">
        <v>16</v>
      </c>
      <c r="G1284" s="2" t="s">
        <v>3530</v>
      </c>
      <c r="H1284" s="2" t="s">
        <v>18</v>
      </c>
      <c r="I1284" s="2"/>
      <c r="J1284" s="2" t="s">
        <v>403</v>
      </c>
      <c r="K1284" s="2" t="s">
        <v>809</v>
      </c>
      <c r="L1284" s="4" t="s">
        <v>3531</v>
      </c>
    </row>
    <row r="1285" customFormat="false" ht="13.35" hidden="false" customHeight="true" outlineLevel="0" collapsed="false">
      <c r="A1285" s="2" t="str">
        <f aca="false">HYPERLINK("https://www.fabsurplus.com/sdi_catalog/salesItemDetails.do?id=101650")</f>
        <v>https://www.fabsurplus.com/sdi_catalog/salesItemDetails.do?id=101650</v>
      </c>
      <c r="B1285" s="2" t="s">
        <v>3532</v>
      </c>
      <c r="C1285" s="2" t="s">
        <v>3487</v>
      </c>
      <c r="D1285" s="2" t="s">
        <v>3533</v>
      </c>
      <c r="E1285" s="2" t="s">
        <v>3534</v>
      </c>
      <c r="F1285" s="2" t="s">
        <v>16</v>
      </c>
      <c r="G1285" s="2" t="s">
        <v>36</v>
      </c>
      <c r="H1285" s="2" t="s">
        <v>26</v>
      </c>
      <c r="I1285" s="3" t="n">
        <v>38869</v>
      </c>
      <c r="J1285" s="2" t="s">
        <v>19</v>
      </c>
      <c r="K1285" s="2" t="s">
        <v>20</v>
      </c>
      <c r="L1285" s="4" t="s">
        <v>3535</v>
      </c>
    </row>
    <row r="1286" customFormat="false" ht="13.35" hidden="false" customHeight="true" outlineLevel="0" collapsed="false">
      <c r="A1286" s="2" t="str">
        <f aca="false">HYPERLINK("https://www.fabsurplus.com/sdi_catalog/salesItemDetails.do?id=97104")</f>
        <v>https://www.fabsurplus.com/sdi_catalog/salesItemDetails.do?id=97104</v>
      </c>
      <c r="B1286" s="2" t="s">
        <v>3536</v>
      </c>
      <c r="C1286" s="2" t="s">
        <v>3487</v>
      </c>
      <c r="D1286" s="2" t="s">
        <v>3537</v>
      </c>
      <c r="E1286" s="2" t="s">
        <v>2804</v>
      </c>
      <c r="F1286" s="2" t="s">
        <v>16</v>
      </c>
      <c r="G1286" s="2" t="s">
        <v>3538</v>
      </c>
      <c r="H1286" s="2" t="s">
        <v>26</v>
      </c>
      <c r="I1286" s="3" t="n">
        <v>38139</v>
      </c>
      <c r="J1286" s="2" t="s">
        <v>19</v>
      </c>
      <c r="K1286" s="2" t="s">
        <v>20</v>
      </c>
      <c r="L1286" s="4" t="s">
        <v>3539</v>
      </c>
    </row>
    <row r="1287" customFormat="false" ht="13.35" hidden="false" customHeight="true" outlineLevel="0" collapsed="false">
      <c r="A1287" s="2" t="str">
        <f aca="false">HYPERLINK("https://www.fabsurplus.com/sdi_catalog/salesItemDetails.do?id=99877")</f>
        <v>https://www.fabsurplus.com/sdi_catalog/salesItemDetails.do?id=99877</v>
      </c>
      <c r="B1287" s="2" t="s">
        <v>3540</v>
      </c>
      <c r="C1287" s="2" t="s">
        <v>3487</v>
      </c>
      <c r="D1287" s="2" t="s">
        <v>3537</v>
      </c>
      <c r="E1287" s="2" t="s">
        <v>2804</v>
      </c>
      <c r="F1287" s="2" t="s">
        <v>16</v>
      </c>
      <c r="G1287" s="2"/>
      <c r="H1287" s="2" t="s">
        <v>26</v>
      </c>
      <c r="I1287" s="3" t="n">
        <v>38139</v>
      </c>
      <c r="J1287" s="2" t="s">
        <v>19</v>
      </c>
      <c r="K1287" s="2" t="s">
        <v>20</v>
      </c>
      <c r="L1287" s="4" t="s">
        <v>3541</v>
      </c>
    </row>
    <row r="1288" customFormat="false" ht="13.35" hidden="false" customHeight="true" outlineLevel="0" collapsed="false">
      <c r="A1288" s="2" t="str">
        <f aca="false">HYPERLINK("https://www.fabsurplus.com/sdi_catalog/salesItemDetails.do?id=99402")</f>
        <v>https://www.fabsurplus.com/sdi_catalog/salesItemDetails.do?id=99402</v>
      </c>
      <c r="B1288" s="2" t="s">
        <v>3542</v>
      </c>
      <c r="C1288" s="2" t="s">
        <v>3491</v>
      </c>
      <c r="D1288" s="2" t="s">
        <v>3543</v>
      </c>
      <c r="E1288" s="2" t="s">
        <v>2804</v>
      </c>
      <c r="F1288" s="2" t="s">
        <v>16</v>
      </c>
      <c r="G1288" s="2"/>
      <c r="H1288" s="2" t="s">
        <v>26</v>
      </c>
      <c r="I1288" s="2"/>
      <c r="J1288" s="2" t="s">
        <v>19</v>
      </c>
      <c r="K1288" s="2" t="s">
        <v>20</v>
      </c>
      <c r="L1288" s="4" t="s">
        <v>3527</v>
      </c>
    </row>
    <row r="1289" customFormat="false" ht="13.35" hidden="false" customHeight="true" outlineLevel="0" collapsed="false">
      <c r="A1289" s="5" t="str">
        <f aca="false">HYPERLINK("https://www.fabsurplus.com/sdi_catalog/salesItemDetails.do?id=99397")</f>
        <v>https://www.fabsurplus.com/sdi_catalog/salesItemDetails.do?id=99397</v>
      </c>
      <c r="B1289" s="5" t="s">
        <v>3544</v>
      </c>
      <c r="C1289" s="5" t="s">
        <v>3491</v>
      </c>
      <c r="D1289" s="5" t="s">
        <v>3545</v>
      </c>
      <c r="E1289" s="5" t="s">
        <v>41</v>
      </c>
      <c r="F1289" s="5" t="s">
        <v>16</v>
      </c>
      <c r="G1289" s="5"/>
      <c r="H1289" s="5" t="s">
        <v>26</v>
      </c>
      <c r="I1289" s="5"/>
      <c r="J1289" s="5" t="s">
        <v>19</v>
      </c>
      <c r="K1289" s="5" t="s">
        <v>20</v>
      </c>
      <c r="L1289" s="7" t="s">
        <v>3527</v>
      </c>
    </row>
    <row r="1290" customFormat="false" ht="13.35" hidden="false" customHeight="true" outlineLevel="0" collapsed="false">
      <c r="A1290" s="5" t="str">
        <f aca="false">HYPERLINK("https://www.fabsurplus.com/sdi_catalog/salesItemDetails.do?id=98972")</f>
        <v>https://www.fabsurplus.com/sdi_catalog/salesItemDetails.do?id=98972</v>
      </c>
      <c r="B1290" s="5" t="s">
        <v>3546</v>
      </c>
      <c r="C1290" s="5" t="s">
        <v>3487</v>
      </c>
      <c r="D1290" s="5" t="s">
        <v>3547</v>
      </c>
      <c r="E1290" s="5" t="s">
        <v>2639</v>
      </c>
      <c r="F1290" s="5" t="s">
        <v>16</v>
      </c>
      <c r="G1290" s="5" t="s">
        <v>493</v>
      </c>
      <c r="H1290" s="5" t="s">
        <v>18</v>
      </c>
      <c r="I1290" s="5"/>
      <c r="J1290" s="5" t="s">
        <v>47</v>
      </c>
      <c r="K1290" s="5" t="s">
        <v>20</v>
      </c>
      <c r="L1290" s="7" t="s">
        <v>3548</v>
      </c>
    </row>
    <row r="1291" customFormat="false" ht="13.35" hidden="false" customHeight="true" outlineLevel="0" collapsed="false">
      <c r="A1291" s="2" t="str">
        <f aca="false">HYPERLINK("https://www.fabsurplus.com/sdi_catalog/salesItemDetails.do?id=102257")</f>
        <v>https://www.fabsurplus.com/sdi_catalog/salesItemDetails.do?id=102257</v>
      </c>
      <c r="B1291" s="2" t="s">
        <v>3549</v>
      </c>
      <c r="C1291" s="2" t="s">
        <v>3487</v>
      </c>
      <c r="D1291" s="2" t="s">
        <v>3550</v>
      </c>
      <c r="E1291" s="2" t="s">
        <v>3551</v>
      </c>
      <c r="F1291" s="2" t="s">
        <v>16</v>
      </c>
      <c r="G1291" s="2" t="s">
        <v>17</v>
      </c>
      <c r="H1291" s="2"/>
      <c r="I1291" s="2"/>
      <c r="J1291" s="2" t="s">
        <v>19</v>
      </c>
      <c r="K1291" s="2"/>
      <c r="L1291" s="2"/>
    </row>
    <row r="1292" customFormat="false" ht="13.35" hidden="false" customHeight="true" outlineLevel="0" collapsed="false">
      <c r="A1292" s="5" t="str">
        <f aca="false">HYPERLINK("https://www.fabsurplus.com/sdi_catalog/salesItemDetails.do?id=103159")</f>
        <v>https://www.fabsurplus.com/sdi_catalog/salesItemDetails.do?id=103159</v>
      </c>
      <c r="B1292" s="5" t="s">
        <v>3552</v>
      </c>
      <c r="C1292" s="5" t="s">
        <v>3553</v>
      </c>
      <c r="D1292" s="5" t="s">
        <v>3554</v>
      </c>
      <c r="E1292" s="5" t="s">
        <v>3555</v>
      </c>
      <c r="F1292" s="5" t="s">
        <v>16</v>
      </c>
      <c r="G1292" s="5"/>
      <c r="H1292" s="5"/>
      <c r="I1292" s="5"/>
      <c r="J1292" s="5" t="s">
        <v>47</v>
      </c>
      <c r="K1292" s="5"/>
      <c r="L1292" s="7" t="s">
        <v>3556</v>
      </c>
    </row>
    <row r="1293" customFormat="false" ht="13.35" hidden="false" customHeight="true" outlineLevel="0" collapsed="false">
      <c r="A1293" s="2" t="str">
        <f aca="false">HYPERLINK("https://www.fabsurplus.com/sdi_catalog/salesItemDetails.do?id=103160")</f>
        <v>https://www.fabsurplus.com/sdi_catalog/salesItemDetails.do?id=103160</v>
      </c>
      <c r="B1293" s="2" t="s">
        <v>3557</v>
      </c>
      <c r="C1293" s="2" t="s">
        <v>3553</v>
      </c>
      <c r="D1293" s="2" t="s">
        <v>3558</v>
      </c>
      <c r="E1293" s="2" t="s">
        <v>3559</v>
      </c>
      <c r="F1293" s="2" t="s">
        <v>16</v>
      </c>
      <c r="G1293" s="2"/>
      <c r="H1293" s="2"/>
      <c r="I1293" s="2"/>
      <c r="J1293" s="2" t="s">
        <v>47</v>
      </c>
      <c r="K1293" s="2"/>
      <c r="L1293" s="2"/>
    </row>
    <row r="1294" customFormat="false" ht="13.35" hidden="false" customHeight="true" outlineLevel="0" collapsed="false">
      <c r="A1294" s="2" t="str">
        <f aca="false">HYPERLINK("https://www.fabsurplus.com/sdi_catalog/salesItemDetails.do?id=99937")</f>
        <v>https://www.fabsurplus.com/sdi_catalog/salesItemDetails.do?id=99937</v>
      </c>
      <c r="B1294" s="2" t="s">
        <v>3560</v>
      </c>
      <c r="C1294" s="2" t="s">
        <v>3561</v>
      </c>
      <c r="D1294" s="2" t="s">
        <v>3562</v>
      </c>
      <c r="E1294" s="2" t="s">
        <v>3563</v>
      </c>
      <c r="F1294" s="2" t="s">
        <v>16</v>
      </c>
      <c r="G1294" s="2" t="s">
        <v>88</v>
      </c>
      <c r="H1294" s="2"/>
      <c r="I1294" s="2"/>
      <c r="J1294" s="2" t="s">
        <v>19</v>
      </c>
      <c r="K1294" s="2"/>
      <c r="L1294" s="2"/>
    </row>
    <row r="1295" customFormat="false" ht="13.35" hidden="false" customHeight="true" outlineLevel="0" collapsed="false">
      <c r="A1295" s="5" t="str">
        <f aca="false">HYPERLINK("https://www.fabsurplus.com/sdi_catalog/salesItemDetails.do?id=98467")</f>
        <v>https://www.fabsurplus.com/sdi_catalog/salesItemDetails.do?id=98467</v>
      </c>
      <c r="B1295" s="5" t="s">
        <v>3564</v>
      </c>
      <c r="C1295" s="5" t="s">
        <v>3565</v>
      </c>
      <c r="D1295" s="5" t="s">
        <v>3566</v>
      </c>
      <c r="E1295" s="5" t="s">
        <v>3567</v>
      </c>
      <c r="F1295" s="5" t="s">
        <v>16</v>
      </c>
      <c r="G1295" s="5" t="s">
        <v>658</v>
      </c>
      <c r="H1295" s="5" t="s">
        <v>18</v>
      </c>
      <c r="I1295" s="5"/>
      <c r="J1295" s="5" t="s">
        <v>19</v>
      </c>
      <c r="K1295" s="5" t="s">
        <v>20</v>
      </c>
      <c r="L1295" s="7" t="s">
        <v>3568</v>
      </c>
    </row>
    <row r="1296" customFormat="false" ht="13.35" hidden="false" customHeight="true" outlineLevel="0" collapsed="false">
      <c r="A1296" s="2" t="str">
        <f aca="false">HYPERLINK("https://www.fabsurplus.com/sdi_catalog/salesItemDetails.do?id=98468")</f>
        <v>https://www.fabsurplus.com/sdi_catalog/salesItemDetails.do?id=98468</v>
      </c>
      <c r="B1296" s="2" t="s">
        <v>3569</v>
      </c>
      <c r="C1296" s="2" t="s">
        <v>3565</v>
      </c>
      <c r="D1296" s="2" t="s">
        <v>3570</v>
      </c>
      <c r="E1296" s="2" t="s">
        <v>3571</v>
      </c>
      <c r="F1296" s="2" t="s">
        <v>16</v>
      </c>
      <c r="G1296" s="2" t="s">
        <v>658</v>
      </c>
      <c r="H1296" s="2"/>
      <c r="I1296" s="2"/>
      <c r="J1296" s="2" t="s">
        <v>19</v>
      </c>
      <c r="K1296" s="2"/>
      <c r="L1296" s="2" t="s">
        <v>1417</v>
      </c>
    </row>
    <row r="1297" customFormat="false" ht="13.35" hidden="false" customHeight="true" outlineLevel="0" collapsed="false">
      <c r="A1297" s="5" t="str">
        <f aca="false">HYPERLINK("https://www.fabsurplus.com/sdi_catalog/salesItemDetails.do?id=98469")</f>
        <v>https://www.fabsurplus.com/sdi_catalog/salesItemDetails.do?id=98469</v>
      </c>
      <c r="B1297" s="5" t="s">
        <v>3572</v>
      </c>
      <c r="C1297" s="5" t="s">
        <v>3565</v>
      </c>
      <c r="D1297" s="5" t="s">
        <v>3573</v>
      </c>
      <c r="E1297" s="5" t="s">
        <v>3571</v>
      </c>
      <c r="F1297" s="5" t="s">
        <v>16</v>
      </c>
      <c r="G1297" s="5" t="s">
        <v>658</v>
      </c>
      <c r="H1297" s="5"/>
      <c r="I1297" s="5"/>
      <c r="J1297" s="5" t="s">
        <v>19</v>
      </c>
      <c r="K1297" s="5"/>
      <c r="L1297" s="5" t="s">
        <v>1417</v>
      </c>
    </row>
    <row r="1298" customFormat="false" ht="13.35" hidden="false" customHeight="true" outlineLevel="0" collapsed="false">
      <c r="A1298" s="5" t="str">
        <f aca="false">HYPERLINK("https://www.fabsurplus.com/sdi_catalog/salesItemDetails.do?id=91429")</f>
        <v>https://www.fabsurplus.com/sdi_catalog/salesItemDetails.do?id=91429</v>
      </c>
      <c r="B1298" s="5" t="s">
        <v>3574</v>
      </c>
      <c r="C1298" s="5" t="s">
        <v>3575</v>
      </c>
      <c r="D1298" s="5" t="s">
        <v>3576</v>
      </c>
      <c r="E1298" s="5" t="s">
        <v>3577</v>
      </c>
      <c r="F1298" s="5" t="s">
        <v>16</v>
      </c>
      <c r="G1298" s="5"/>
      <c r="H1298" s="5"/>
      <c r="I1298" s="5"/>
      <c r="J1298" s="5" t="s">
        <v>19</v>
      </c>
      <c r="K1298" s="5"/>
      <c r="L1298" s="5" t="s">
        <v>112</v>
      </c>
    </row>
    <row r="1299" customFormat="false" ht="13.35" hidden="false" customHeight="true" outlineLevel="0" collapsed="false">
      <c r="A1299" s="2" t="str">
        <f aca="false">HYPERLINK("https://www.fabsurplus.com/sdi_catalog/salesItemDetails.do?id=91430")</f>
        <v>https://www.fabsurplus.com/sdi_catalog/salesItemDetails.do?id=91430</v>
      </c>
      <c r="B1299" s="2" t="s">
        <v>3578</v>
      </c>
      <c r="C1299" s="2" t="s">
        <v>3575</v>
      </c>
      <c r="D1299" s="2" t="s">
        <v>3576</v>
      </c>
      <c r="E1299" s="2" t="s">
        <v>3577</v>
      </c>
      <c r="F1299" s="2" t="s">
        <v>16</v>
      </c>
      <c r="G1299" s="2"/>
      <c r="H1299" s="2"/>
      <c r="I1299" s="2"/>
      <c r="J1299" s="2" t="s">
        <v>19</v>
      </c>
      <c r="K1299" s="2"/>
      <c r="L1299" s="2" t="s">
        <v>112</v>
      </c>
    </row>
    <row r="1300" customFormat="false" ht="13.35" hidden="false" customHeight="true" outlineLevel="0" collapsed="false">
      <c r="A1300" s="2" t="str">
        <f aca="false">HYPERLINK("https://www.fabsurplus.com/sdi_catalog/salesItemDetails.do?id=103034")</f>
        <v>https://www.fabsurplus.com/sdi_catalog/salesItemDetails.do?id=103034</v>
      </c>
      <c r="B1300" s="2" t="s">
        <v>3579</v>
      </c>
      <c r="C1300" s="2" t="s">
        <v>3580</v>
      </c>
      <c r="D1300" s="2" t="s">
        <v>3581</v>
      </c>
      <c r="E1300" s="2" t="s">
        <v>3582</v>
      </c>
      <c r="F1300" s="2" t="s">
        <v>16</v>
      </c>
      <c r="G1300" s="2" t="s">
        <v>154</v>
      </c>
      <c r="H1300" s="2"/>
      <c r="I1300" s="2"/>
      <c r="J1300" s="2" t="s">
        <v>19</v>
      </c>
      <c r="K1300" s="2"/>
      <c r="L1300" s="4" t="s">
        <v>3583</v>
      </c>
    </row>
    <row r="1301" customFormat="false" ht="13.35" hidden="false" customHeight="true" outlineLevel="0" collapsed="false">
      <c r="A1301" s="5" t="str">
        <f aca="false">HYPERLINK("https://www.fabsurplus.com/sdi_catalog/salesItemDetails.do?id=97864")</f>
        <v>https://www.fabsurplus.com/sdi_catalog/salesItemDetails.do?id=97864</v>
      </c>
      <c r="B1301" s="5" t="s">
        <v>3584</v>
      </c>
      <c r="C1301" s="5" t="s">
        <v>3585</v>
      </c>
      <c r="D1301" s="5" t="s">
        <v>3586</v>
      </c>
      <c r="E1301" s="5" t="s">
        <v>3587</v>
      </c>
      <c r="F1301" s="5" t="s">
        <v>16</v>
      </c>
      <c r="G1301" s="5"/>
      <c r="H1301" s="5"/>
      <c r="I1301" s="5"/>
      <c r="J1301" s="5" t="s">
        <v>19</v>
      </c>
      <c r="K1301" s="5"/>
      <c r="L1301" s="5"/>
    </row>
    <row r="1302" customFormat="false" ht="13.35" hidden="false" customHeight="true" outlineLevel="0" collapsed="false">
      <c r="A1302" s="5" t="str">
        <f aca="false">HYPERLINK("https://www.fabsurplus.com/sdi_catalog/salesItemDetails.do?id=96004")</f>
        <v>https://www.fabsurplus.com/sdi_catalog/salesItemDetails.do?id=96004</v>
      </c>
      <c r="B1302" s="5" t="s">
        <v>3588</v>
      </c>
      <c r="C1302" s="5" t="s">
        <v>3589</v>
      </c>
      <c r="D1302" s="5" t="s">
        <v>3590</v>
      </c>
      <c r="E1302" s="5" t="s">
        <v>3591</v>
      </c>
      <c r="F1302" s="5" t="s">
        <v>16</v>
      </c>
      <c r="G1302" s="5" t="s">
        <v>181</v>
      </c>
      <c r="H1302" s="5"/>
      <c r="I1302" s="5"/>
      <c r="J1302" s="5" t="s">
        <v>19</v>
      </c>
      <c r="K1302" s="5"/>
      <c r="L1302" s="7" t="s">
        <v>209</v>
      </c>
    </row>
    <row r="1303" customFormat="false" ht="13.35" hidden="false" customHeight="true" outlineLevel="0" collapsed="false">
      <c r="A1303" s="2" t="str">
        <f aca="false">HYPERLINK("https://www.fabsurplus.com/sdi_catalog/salesItemDetails.do?id=96005")</f>
        <v>https://www.fabsurplus.com/sdi_catalog/salesItemDetails.do?id=96005</v>
      </c>
      <c r="B1303" s="2" t="s">
        <v>3592</v>
      </c>
      <c r="C1303" s="2" t="s">
        <v>3589</v>
      </c>
      <c r="D1303" s="2" t="s">
        <v>3593</v>
      </c>
      <c r="E1303" s="2" t="s">
        <v>3591</v>
      </c>
      <c r="F1303" s="2" t="s">
        <v>16</v>
      </c>
      <c r="G1303" s="2" t="s">
        <v>181</v>
      </c>
      <c r="H1303" s="2"/>
      <c r="I1303" s="2"/>
      <c r="J1303" s="2" t="s">
        <v>19</v>
      </c>
      <c r="K1303" s="2"/>
      <c r="L1303" s="4" t="s">
        <v>209</v>
      </c>
    </row>
    <row r="1304" customFormat="false" ht="13.35" hidden="false" customHeight="true" outlineLevel="0" collapsed="false">
      <c r="A1304" s="2" t="str">
        <f aca="false">HYPERLINK("https://www.fabsurplus.com/sdi_catalog/salesItemDetails.do?id=87571")</f>
        <v>https://www.fabsurplus.com/sdi_catalog/salesItemDetails.do?id=87571</v>
      </c>
      <c r="B1304" s="2" t="s">
        <v>3594</v>
      </c>
      <c r="C1304" s="2" t="s">
        <v>3595</v>
      </c>
      <c r="D1304" s="2" t="s">
        <v>3596</v>
      </c>
      <c r="E1304" s="2" t="s">
        <v>3597</v>
      </c>
      <c r="F1304" s="2" t="s">
        <v>16</v>
      </c>
      <c r="G1304" s="2"/>
      <c r="H1304" s="2"/>
      <c r="I1304" s="2"/>
      <c r="J1304" s="2" t="s">
        <v>19</v>
      </c>
      <c r="K1304" s="2"/>
      <c r="L1304" s="2"/>
    </row>
    <row r="1305" customFormat="false" ht="13.35" hidden="false" customHeight="true" outlineLevel="0" collapsed="false">
      <c r="A1305" s="5" t="str">
        <f aca="false">HYPERLINK("https://www.fabsurplus.com/sdi_catalog/salesItemDetails.do?id=87572")</f>
        <v>https://www.fabsurplus.com/sdi_catalog/salesItemDetails.do?id=87572</v>
      </c>
      <c r="B1305" s="5" t="s">
        <v>3598</v>
      </c>
      <c r="C1305" s="5" t="s">
        <v>3595</v>
      </c>
      <c r="D1305" s="5" t="s">
        <v>3599</v>
      </c>
      <c r="E1305" s="5" t="s">
        <v>3600</v>
      </c>
      <c r="F1305" s="5" t="s">
        <v>16</v>
      </c>
      <c r="G1305" s="5"/>
      <c r="H1305" s="5"/>
      <c r="I1305" s="5"/>
      <c r="J1305" s="5" t="s">
        <v>19</v>
      </c>
      <c r="K1305" s="5"/>
      <c r="L1305" s="5"/>
    </row>
    <row r="1306" customFormat="false" ht="13.35" hidden="false" customHeight="true" outlineLevel="0" collapsed="false">
      <c r="A1306" s="2" t="str">
        <f aca="false">HYPERLINK("https://www.fabsurplus.com/sdi_catalog/salesItemDetails.do?id=103161")</f>
        <v>https://www.fabsurplus.com/sdi_catalog/salesItemDetails.do?id=103161</v>
      </c>
      <c r="B1306" s="2" t="s">
        <v>3601</v>
      </c>
      <c r="C1306" s="2" t="s">
        <v>3602</v>
      </c>
      <c r="D1306" s="2" t="s">
        <v>3603</v>
      </c>
      <c r="E1306" s="2" t="s">
        <v>3604</v>
      </c>
      <c r="F1306" s="2" t="s">
        <v>16</v>
      </c>
      <c r="G1306" s="2" t="s">
        <v>36</v>
      </c>
      <c r="H1306" s="2"/>
      <c r="I1306" s="2"/>
      <c r="J1306" s="2" t="s">
        <v>47</v>
      </c>
      <c r="K1306" s="2"/>
      <c r="L1306" s="4" t="s">
        <v>3605</v>
      </c>
    </row>
    <row r="1307" customFormat="false" ht="13.35" hidden="false" customHeight="true" outlineLevel="0" collapsed="false">
      <c r="A1307" s="2" t="str">
        <f aca="false">HYPERLINK("https://www.fabsurplus.com/sdi_catalog/salesItemDetails.do?id=98399")</f>
        <v>https://www.fabsurplus.com/sdi_catalog/salesItemDetails.do?id=98399</v>
      </c>
      <c r="B1307" s="2" t="s">
        <v>3606</v>
      </c>
      <c r="C1307" s="2" t="s">
        <v>3607</v>
      </c>
      <c r="D1307" s="2" t="s">
        <v>3608</v>
      </c>
      <c r="E1307" s="2" t="s">
        <v>3609</v>
      </c>
      <c r="F1307" s="2" t="s">
        <v>16</v>
      </c>
      <c r="G1307" s="2" t="s">
        <v>36</v>
      </c>
      <c r="H1307" s="2" t="s">
        <v>26</v>
      </c>
      <c r="I1307" s="3" t="n">
        <v>35643</v>
      </c>
      <c r="J1307" s="2" t="s">
        <v>19</v>
      </c>
      <c r="K1307" s="2" t="s">
        <v>20</v>
      </c>
      <c r="L1307" s="4" t="s">
        <v>3610</v>
      </c>
    </row>
    <row r="1308" customFormat="false" ht="13.35" hidden="false" customHeight="true" outlineLevel="0" collapsed="false">
      <c r="A1308" s="2" t="str">
        <f aca="false">HYPERLINK("https://www.fabsurplus.com/sdi_catalog/salesItemDetails.do?id=94461")</f>
        <v>https://www.fabsurplus.com/sdi_catalog/salesItemDetails.do?id=94461</v>
      </c>
      <c r="B1308" s="2" t="s">
        <v>3611</v>
      </c>
      <c r="C1308" s="2" t="s">
        <v>3607</v>
      </c>
      <c r="D1308" s="2" t="s">
        <v>3612</v>
      </c>
      <c r="E1308" s="2" t="s">
        <v>3613</v>
      </c>
      <c r="F1308" s="2" t="s">
        <v>16</v>
      </c>
      <c r="G1308" s="2" t="s">
        <v>3163</v>
      </c>
      <c r="H1308" s="2"/>
      <c r="I1308" s="3" t="n">
        <v>34851</v>
      </c>
      <c r="J1308" s="2" t="s">
        <v>19</v>
      </c>
      <c r="K1308" s="2"/>
      <c r="L1308" s="2"/>
    </row>
    <row r="1309" customFormat="false" ht="13.35" hidden="false" customHeight="true" outlineLevel="0" collapsed="false">
      <c r="A1309" s="2" t="str">
        <f aca="false">HYPERLINK("https://www.fabsurplus.com/sdi_catalog/salesItemDetails.do?id=91431")</f>
        <v>https://www.fabsurplus.com/sdi_catalog/salesItemDetails.do?id=91431</v>
      </c>
      <c r="B1309" s="2" t="s">
        <v>3614</v>
      </c>
      <c r="C1309" s="2" t="s">
        <v>3607</v>
      </c>
      <c r="D1309" s="2" t="s">
        <v>3615</v>
      </c>
      <c r="E1309" s="2" t="s">
        <v>3616</v>
      </c>
      <c r="F1309" s="2" t="s">
        <v>16</v>
      </c>
      <c r="G1309" s="2" t="s">
        <v>36</v>
      </c>
      <c r="H1309" s="2"/>
      <c r="I1309" s="3" t="n">
        <v>37043</v>
      </c>
      <c r="J1309" s="2" t="s">
        <v>19</v>
      </c>
      <c r="K1309" s="2"/>
      <c r="L1309" s="2" t="s">
        <v>112</v>
      </c>
    </row>
    <row r="1310" customFormat="false" ht="13.35" hidden="false" customHeight="true" outlineLevel="0" collapsed="false">
      <c r="A1310" s="5" t="str">
        <f aca="false">HYPERLINK("https://www.fabsurplus.com/sdi_catalog/salesItemDetails.do?id=91432")</f>
        <v>https://www.fabsurplus.com/sdi_catalog/salesItemDetails.do?id=91432</v>
      </c>
      <c r="B1310" s="5" t="s">
        <v>3617</v>
      </c>
      <c r="C1310" s="5" t="s">
        <v>3607</v>
      </c>
      <c r="D1310" s="5" t="s">
        <v>3615</v>
      </c>
      <c r="E1310" s="5" t="s">
        <v>3616</v>
      </c>
      <c r="F1310" s="5" t="s">
        <v>16</v>
      </c>
      <c r="G1310" s="5" t="s">
        <v>36</v>
      </c>
      <c r="H1310" s="5"/>
      <c r="I1310" s="6" t="n">
        <v>37043</v>
      </c>
      <c r="J1310" s="5" t="s">
        <v>19</v>
      </c>
      <c r="K1310" s="5"/>
      <c r="L1310" s="5" t="s">
        <v>112</v>
      </c>
    </row>
    <row r="1311" customFormat="false" ht="13.35" hidden="false" customHeight="true" outlineLevel="0" collapsed="false">
      <c r="A1311" s="5" t="str">
        <f aca="false">HYPERLINK("https://www.fabsurplus.com/sdi_catalog/salesItemDetails.do?id=91433")</f>
        <v>https://www.fabsurplus.com/sdi_catalog/salesItemDetails.do?id=91433</v>
      </c>
      <c r="B1311" s="5" t="s">
        <v>3618</v>
      </c>
      <c r="C1311" s="5" t="s">
        <v>3607</v>
      </c>
      <c r="D1311" s="5" t="s">
        <v>3615</v>
      </c>
      <c r="E1311" s="5" t="s">
        <v>3616</v>
      </c>
      <c r="F1311" s="5" t="s">
        <v>16</v>
      </c>
      <c r="G1311" s="5" t="s">
        <v>17</v>
      </c>
      <c r="H1311" s="5"/>
      <c r="I1311" s="5"/>
      <c r="J1311" s="5" t="s">
        <v>19</v>
      </c>
      <c r="K1311" s="5"/>
      <c r="L1311" s="5" t="s">
        <v>112</v>
      </c>
    </row>
    <row r="1312" customFormat="false" ht="13.35" hidden="false" customHeight="true" outlineLevel="0" collapsed="false">
      <c r="A1312" s="5" t="str">
        <f aca="false">HYPERLINK("https://www.fabsurplus.com/sdi_catalog/salesItemDetails.do?id=102268")</f>
        <v>https://www.fabsurplus.com/sdi_catalog/salesItemDetails.do?id=102268</v>
      </c>
      <c r="B1312" s="5" t="s">
        <v>3619</v>
      </c>
      <c r="C1312" s="5" t="s">
        <v>3607</v>
      </c>
      <c r="D1312" s="5" t="s">
        <v>3620</v>
      </c>
      <c r="E1312" s="5" t="s">
        <v>3621</v>
      </c>
      <c r="F1312" s="5" t="s">
        <v>16</v>
      </c>
      <c r="G1312" s="5" t="s">
        <v>36</v>
      </c>
      <c r="H1312" s="5"/>
      <c r="I1312" s="6" t="n">
        <v>38869</v>
      </c>
      <c r="J1312" s="5" t="s">
        <v>19</v>
      </c>
      <c r="K1312" s="5"/>
      <c r="L1312" s="5"/>
    </row>
    <row r="1313" customFormat="false" ht="13.35" hidden="false" customHeight="true" outlineLevel="0" collapsed="false">
      <c r="A1313" s="5" t="str">
        <f aca="false">HYPERLINK("https://www.fabsurplus.com/sdi_catalog/salesItemDetails.do?id=103095")</f>
        <v>https://www.fabsurplus.com/sdi_catalog/salesItemDetails.do?id=103095</v>
      </c>
      <c r="B1313" s="5" t="s">
        <v>3622</v>
      </c>
      <c r="C1313" s="5" t="s">
        <v>3607</v>
      </c>
      <c r="D1313" s="5" t="s">
        <v>3623</v>
      </c>
      <c r="E1313" s="5" t="s">
        <v>3624</v>
      </c>
      <c r="F1313" s="5" t="s">
        <v>16</v>
      </c>
      <c r="G1313" s="5" t="s">
        <v>658</v>
      </c>
      <c r="H1313" s="5"/>
      <c r="I1313" s="6" t="n">
        <v>38869</v>
      </c>
      <c r="J1313" s="5" t="s">
        <v>19</v>
      </c>
      <c r="K1313" s="5"/>
      <c r="L1313" s="7" t="s">
        <v>3625</v>
      </c>
    </row>
    <row r="1314" customFormat="false" ht="13.35" hidden="false" customHeight="true" outlineLevel="0" collapsed="false">
      <c r="A1314" s="5" t="str">
        <f aca="false">HYPERLINK("https://www.fabsurplus.com/sdi_catalog/salesItemDetails.do?id=98471")</f>
        <v>https://www.fabsurplus.com/sdi_catalog/salesItemDetails.do?id=98471</v>
      </c>
      <c r="B1314" s="5" t="s">
        <v>3626</v>
      </c>
      <c r="C1314" s="5" t="s">
        <v>3607</v>
      </c>
      <c r="D1314" s="5" t="s">
        <v>3627</v>
      </c>
      <c r="E1314" s="5" t="s">
        <v>3628</v>
      </c>
      <c r="F1314" s="5" t="s">
        <v>16</v>
      </c>
      <c r="G1314" s="5" t="s">
        <v>17</v>
      </c>
      <c r="H1314" s="5" t="s">
        <v>1974</v>
      </c>
      <c r="I1314" s="6" t="n">
        <v>39569</v>
      </c>
      <c r="J1314" s="5" t="s">
        <v>19</v>
      </c>
      <c r="K1314" s="5" t="s">
        <v>20</v>
      </c>
      <c r="L1314" s="7" t="s">
        <v>3629</v>
      </c>
    </row>
    <row r="1315" customFormat="false" ht="13.35" hidden="false" customHeight="true" outlineLevel="0" collapsed="false">
      <c r="A1315" s="2" t="str">
        <f aca="false">HYPERLINK("https://www.fabsurplus.com/sdi_catalog/salesItemDetails.do?id=98472")</f>
        <v>https://www.fabsurplus.com/sdi_catalog/salesItemDetails.do?id=98472</v>
      </c>
      <c r="B1315" s="2" t="s">
        <v>3630</v>
      </c>
      <c r="C1315" s="2" t="s">
        <v>3607</v>
      </c>
      <c r="D1315" s="2" t="s">
        <v>3631</v>
      </c>
      <c r="E1315" s="2" t="s">
        <v>3632</v>
      </c>
      <c r="F1315" s="2" t="s">
        <v>125</v>
      </c>
      <c r="G1315" s="2" t="s">
        <v>17</v>
      </c>
      <c r="H1315" s="2" t="s">
        <v>18</v>
      </c>
      <c r="I1315" s="2"/>
      <c r="J1315" s="2" t="s">
        <v>19</v>
      </c>
      <c r="K1315" s="2" t="s">
        <v>20</v>
      </c>
      <c r="L1315" s="2" t="s">
        <v>1417</v>
      </c>
    </row>
    <row r="1316" customFormat="false" ht="13.35" hidden="false" customHeight="true" outlineLevel="0" collapsed="false">
      <c r="A1316" s="2" t="str">
        <f aca="false">HYPERLINK("https://www.fabsurplus.com/sdi_catalog/salesItemDetails.do?id=102472")</f>
        <v>https://www.fabsurplus.com/sdi_catalog/salesItemDetails.do?id=102472</v>
      </c>
      <c r="B1316" s="2" t="s">
        <v>3633</v>
      </c>
      <c r="C1316" s="2" t="s">
        <v>3607</v>
      </c>
      <c r="D1316" s="2" t="s">
        <v>3634</v>
      </c>
      <c r="E1316" s="2" t="s">
        <v>3635</v>
      </c>
      <c r="F1316" s="2" t="s">
        <v>16</v>
      </c>
      <c r="G1316" s="2" t="s">
        <v>3636</v>
      </c>
      <c r="H1316" s="2" t="s">
        <v>96</v>
      </c>
      <c r="I1316" s="2"/>
      <c r="J1316" s="2" t="s">
        <v>47</v>
      </c>
      <c r="K1316" s="2" t="s">
        <v>20</v>
      </c>
      <c r="L1316" s="4" t="s">
        <v>3637</v>
      </c>
    </row>
    <row r="1317" customFormat="false" ht="13.35" hidden="false" customHeight="true" outlineLevel="0" collapsed="false">
      <c r="A1317" s="5" t="str">
        <f aca="false">HYPERLINK("https://www.fabsurplus.com/sdi_catalog/salesItemDetails.do?id=102634")</f>
        <v>https://www.fabsurplus.com/sdi_catalog/salesItemDetails.do?id=102634</v>
      </c>
      <c r="B1317" s="5" t="s">
        <v>3638</v>
      </c>
      <c r="C1317" s="5" t="s">
        <v>3607</v>
      </c>
      <c r="D1317" s="5" t="s">
        <v>3639</v>
      </c>
      <c r="E1317" s="5" t="s">
        <v>3640</v>
      </c>
      <c r="F1317" s="5" t="s">
        <v>16</v>
      </c>
      <c r="G1317" s="5" t="s">
        <v>3636</v>
      </c>
      <c r="H1317" s="5" t="s">
        <v>96</v>
      </c>
      <c r="I1317" s="5"/>
      <c r="J1317" s="5" t="s">
        <v>47</v>
      </c>
      <c r="K1317" s="5" t="s">
        <v>809</v>
      </c>
      <c r="L1317" s="7" t="s">
        <v>3641</v>
      </c>
    </row>
    <row r="1318" customFormat="false" ht="13.35" hidden="false" customHeight="true" outlineLevel="0" collapsed="false">
      <c r="A1318" s="5" t="str">
        <f aca="false">HYPERLINK("https://www.fabsurplus.com/sdi_catalog/salesItemDetails.do?id=101627")</f>
        <v>https://www.fabsurplus.com/sdi_catalog/salesItemDetails.do?id=101627</v>
      </c>
      <c r="B1318" s="5" t="s">
        <v>3642</v>
      </c>
      <c r="C1318" s="5" t="s">
        <v>3607</v>
      </c>
      <c r="D1318" s="5" t="s">
        <v>3643</v>
      </c>
      <c r="E1318" s="5" t="s">
        <v>3644</v>
      </c>
      <c r="F1318" s="5" t="s">
        <v>16</v>
      </c>
      <c r="G1318" s="5" t="s">
        <v>17</v>
      </c>
      <c r="H1318" s="5"/>
      <c r="I1318" s="5"/>
      <c r="J1318" s="5" t="s">
        <v>19</v>
      </c>
      <c r="K1318" s="5"/>
      <c r="L1318" s="5"/>
    </row>
    <row r="1319" customFormat="false" ht="13.35" hidden="false" customHeight="true" outlineLevel="0" collapsed="false">
      <c r="A1319" s="5" t="str">
        <f aca="false">HYPERLINK("https://www.fabsurplus.com/sdi_catalog/salesItemDetails.do?id=91435")</f>
        <v>https://www.fabsurplus.com/sdi_catalog/salesItemDetails.do?id=91435</v>
      </c>
      <c r="B1319" s="5" t="s">
        <v>3645</v>
      </c>
      <c r="C1319" s="5" t="s">
        <v>3607</v>
      </c>
      <c r="D1319" s="5" t="s">
        <v>3646</v>
      </c>
      <c r="E1319" s="5" t="s">
        <v>3647</v>
      </c>
      <c r="F1319" s="5" t="s">
        <v>16</v>
      </c>
      <c r="G1319" s="5" t="s">
        <v>36</v>
      </c>
      <c r="H1319" s="5"/>
      <c r="I1319" s="6" t="n">
        <v>35582</v>
      </c>
      <c r="J1319" s="5" t="s">
        <v>19</v>
      </c>
      <c r="K1319" s="5"/>
      <c r="L1319" s="5" t="s">
        <v>112</v>
      </c>
    </row>
    <row r="1320" customFormat="false" ht="13.35" hidden="false" customHeight="true" outlineLevel="0" collapsed="false">
      <c r="A1320" s="5" t="str">
        <f aca="false">HYPERLINK("https://www.fabsurplus.com/sdi_catalog/salesItemDetails.do?id=94462")</f>
        <v>https://www.fabsurplus.com/sdi_catalog/salesItemDetails.do?id=94462</v>
      </c>
      <c r="B1320" s="5" t="s">
        <v>3648</v>
      </c>
      <c r="C1320" s="5" t="s">
        <v>3607</v>
      </c>
      <c r="D1320" s="5" t="s">
        <v>3646</v>
      </c>
      <c r="E1320" s="5" t="s">
        <v>3647</v>
      </c>
      <c r="F1320" s="5" t="s">
        <v>16</v>
      </c>
      <c r="G1320" s="5" t="s">
        <v>36</v>
      </c>
      <c r="H1320" s="5"/>
      <c r="I1320" s="6" t="n">
        <v>35582</v>
      </c>
      <c r="J1320" s="5" t="s">
        <v>19</v>
      </c>
      <c r="K1320" s="5"/>
      <c r="L1320" s="5"/>
    </row>
    <row r="1321" customFormat="false" ht="13.35" hidden="false" customHeight="true" outlineLevel="0" collapsed="false">
      <c r="A1321" s="2" t="str">
        <f aca="false">HYPERLINK("https://www.fabsurplus.com/sdi_catalog/salesItemDetails.do?id=102258")</f>
        <v>https://www.fabsurplus.com/sdi_catalog/salesItemDetails.do?id=102258</v>
      </c>
      <c r="B1321" s="2" t="s">
        <v>3649</v>
      </c>
      <c r="C1321" s="2" t="s">
        <v>3607</v>
      </c>
      <c r="D1321" s="2" t="s">
        <v>3650</v>
      </c>
      <c r="E1321" s="2" t="s">
        <v>3116</v>
      </c>
      <c r="F1321" s="2" t="s">
        <v>16</v>
      </c>
      <c r="G1321" s="2" t="s">
        <v>36</v>
      </c>
      <c r="H1321" s="2"/>
      <c r="I1321" s="3" t="n">
        <v>37773</v>
      </c>
      <c r="J1321" s="2" t="s">
        <v>19</v>
      </c>
      <c r="K1321" s="2"/>
      <c r="L1321" s="2"/>
    </row>
    <row r="1322" customFormat="false" ht="13.35" hidden="false" customHeight="true" outlineLevel="0" collapsed="false">
      <c r="A1322" s="5" t="str">
        <f aca="false">HYPERLINK("https://www.fabsurplus.com/sdi_catalog/salesItemDetails.do?id=101342")</f>
        <v>https://www.fabsurplus.com/sdi_catalog/salesItemDetails.do?id=101342</v>
      </c>
      <c r="B1322" s="5" t="s">
        <v>3651</v>
      </c>
      <c r="C1322" s="5" t="s">
        <v>3607</v>
      </c>
      <c r="D1322" s="5" t="s">
        <v>3652</v>
      </c>
      <c r="E1322" s="5" t="s">
        <v>3653</v>
      </c>
      <c r="F1322" s="5" t="s">
        <v>16</v>
      </c>
      <c r="G1322" s="5" t="s">
        <v>36</v>
      </c>
      <c r="H1322" s="5" t="s">
        <v>26</v>
      </c>
      <c r="I1322" s="6" t="n">
        <v>35827</v>
      </c>
      <c r="J1322" s="5" t="s">
        <v>19</v>
      </c>
      <c r="K1322" s="5" t="s">
        <v>20</v>
      </c>
      <c r="L1322" s="7" t="s">
        <v>3654</v>
      </c>
    </row>
    <row r="1323" customFormat="false" ht="13.35" hidden="false" customHeight="true" outlineLevel="0" collapsed="false">
      <c r="A1323" s="2" t="str">
        <f aca="false">HYPERLINK("https://www.fabsurplus.com/sdi_catalog/salesItemDetails.do?id=91436")</f>
        <v>https://www.fabsurplus.com/sdi_catalog/salesItemDetails.do?id=91436</v>
      </c>
      <c r="B1323" s="2" t="s">
        <v>3655</v>
      </c>
      <c r="C1323" s="2" t="s">
        <v>3607</v>
      </c>
      <c r="D1323" s="2" t="s">
        <v>3652</v>
      </c>
      <c r="E1323" s="2" t="s">
        <v>3656</v>
      </c>
      <c r="F1323" s="2" t="s">
        <v>16</v>
      </c>
      <c r="G1323" s="2" t="s">
        <v>3163</v>
      </c>
      <c r="H1323" s="2"/>
      <c r="I1323" s="3" t="n">
        <v>35582</v>
      </c>
      <c r="J1323" s="2" t="s">
        <v>19</v>
      </c>
      <c r="K1323" s="2"/>
      <c r="L1323" s="2" t="s">
        <v>112</v>
      </c>
    </row>
    <row r="1324" customFormat="false" ht="13.35" hidden="false" customHeight="true" outlineLevel="0" collapsed="false">
      <c r="A1324" s="5" t="str">
        <f aca="false">HYPERLINK("https://www.fabsurplus.com/sdi_catalog/salesItemDetails.do?id=98400")</f>
        <v>https://www.fabsurplus.com/sdi_catalog/salesItemDetails.do?id=98400</v>
      </c>
      <c r="B1324" s="5" t="s">
        <v>3657</v>
      </c>
      <c r="C1324" s="5" t="s">
        <v>3607</v>
      </c>
      <c r="D1324" s="5" t="s">
        <v>3658</v>
      </c>
      <c r="E1324" s="5" t="s">
        <v>3659</v>
      </c>
      <c r="F1324" s="5" t="s">
        <v>16</v>
      </c>
      <c r="G1324" s="5" t="s">
        <v>36</v>
      </c>
      <c r="H1324" s="5" t="s">
        <v>26</v>
      </c>
      <c r="I1324" s="5"/>
      <c r="J1324" s="5" t="s">
        <v>19</v>
      </c>
      <c r="K1324" s="5" t="s">
        <v>20</v>
      </c>
      <c r="L1324" s="5" t="s">
        <v>893</v>
      </c>
    </row>
    <row r="1325" customFormat="false" ht="13.35" hidden="false" customHeight="true" outlineLevel="0" collapsed="false">
      <c r="A1325" s="5" t="str">
        <f aca="false">HYPERLINK("https://www.fabsurplus.com/sdi_catalog/salesItemDetails.do?id=93094")</f>
        <v>https://www.fabsurplus.com/sdi_catalog/salesItemDetails.do?id=93094</v>
      </c>
      <c r="B1325" s="5" t="s">
        <v>3660</v>
      </c>
      <c r="C1325" s="5" t="s">
        <v>3607</v>
      </c>
      <c r="D1325" s="5" t="s">
        <v>3661</v>
      </c>
      <c r="E1325" s="5" t="s">
        <v>3662</v>
      </c>
      <c r="F1325" s="5" t="s">
        <v>16</v>
      </c>
      <c r="G1325" s="5" t="s">
        <v>36</v>
      </c>
      <c r="H1325" s="5"/>
      <c r="I1325" s="5"/>
      <c r="J1325" s="5" t="s">
        <v>19</v>
      </c>
      <c r="K1325" s="5"/>
      <c r="L1325" s="5" t="s">
        <v>112</v>
      </c>
    </row>
    <row r="1326" customFormat="false" ht="13.35" hidden="false" customHeight="true" outlineLevel="0" collapsed="false">
      <c r="A1326" s="2" t="str">
        <f aca="false">HYPERLINK("https://www.fabsurplus.com/sdi_catalog/salesItemDetails.do?id=103096")</f>
        <v>https://www.fabsurplus.com/sdi_catalog/salesItemDetails.do?id=103096</v>
      </c>
      <c r="B1326" s="2" t="s">
        <v>3663</v>
      </c>
      <c r="C1326" s="2" t="s">
        <v>3607</v>
      </c>
      <c r="D1326" s="2" t="s">
        <v>3661</v>
      </c>
      <c r="E1326" s="2" t="s">
        <v>3664</v>
      </c>
      <c r="F1326" s="2" t="s">
        <v>16</v>
      </c>
      <c r="G1326" s="2" t="s">
        <v>658</v>
      </c>
      <c r="H1326" s="2"/>
      <c r="I1326" s="3" t="n">
        <v>38139</v>
      </c>
      <c r="J1326" s="2" t="s">
        <v>19</v>
      </c>
      <c r="K1326" s="2"/>
      <c r="L1326" s="4" t="s">
        <v>3665</v>
      </c>
    </row>
    <row r="1327" customFormat="false" ht="13.35" hidden="false" customHeight="true" outlineLevel="0" collapsed="false">
      <c r="A1327" s="2" t="str">
        <f aca="false">HYPERLINK("https://www.fabsurplus.com/sdi_catalog/salesItemDetails.do?id=93095")</f>
        <v>https://www.fabsurplus.com/sdi_catalog/salesItemDetails.do?id=93095</v>
      </c>
      <c r="B1327" s="2" t="s">
        <v>3666</v>
      </c>
      <c r="C1327" s="2" t="s">
        <v>3607</v>
      </c>
      <c r="D1327" s="2" t="s">
        <v>3667</v>
      </c>
      <c r="E1327" s="2" t="s">
        <v>3662</v>
      </c>
      <c r="F1327" s="2" t="s">
        <v>16</v>
      </c>
      <c r="G1327" s="2" t="s">
        <v>36</v>
      </c>
      <c r="H1327" s="2"/>
      <c r="I1327" s="3" t="n">
        <v>35947</v>
      </c>
      <c r="J1327" s="2" t="s">
        <v>19</v>
      </c>
      <c r="K1327" s="2"/>
      <c r="L1327" s="2" t="s">
        <v>112</v>
      </c>
    </row>
    <row r="1328" customFormat="false" ht="13.35" hidden="false" customHeight="true" outlineLevel="0" collapsed="false">
      <c r="A1328" s="2" t="str">
        <f aca="false">HYPERLINK("https://www.fabsurplus.com/sdi_catalog/salesItemDetails.do?id=94577")</f>
        <v>https://www.fabsurplus.com/sdi_catalog/salesItemDetails.do?id=94577</v>
      </c>
      <c r="B1328" s="2" t="s">
        <v>3668</v>
      </c>
      <c r="C1328" s="2" t="s">
        <v>3607</v>
      </c>
      <c r="D1328" s="2" t="s">
        <v>3669</v>
      </c>
      <c r="E1328" s="2" t="s">
        <v>3670</v>
      </c>
      <c r="F1328" s="2" t="s">
        <v>16</v>
      </c>
      <c r="G1328" s="2" t="s">
        <v>36</v>
      </c>
      <c r="H1328" s="2" t="s">
        <v>26</v>
      </c>
      <c r="I1328" s="3" t="n">
        <v>37622</v>
      </c>
      <c r="J1328" s="2" t="s">
        <v>19</v>
      </c>
      <c r="K1328" s="2" t="s">
        <v>20</v>
      </c>
      <c r="L1328" s="2" t="s">
        <v>3671</v>
      </c>
    </row>
    <row r="1329" customFormat="false" ht="13.35" hidden="false" customHeight="true" outlineLevel="0" collapsed="false">
      <c r="A1329" s="5" t="str">
        <f aca="false">HYPERLINK("https://www.fabsurplus.com/sdi_catalog/salesItemDetails.do?id=101651")</f>
        <v>https://www.fabsurplus.com/sdi_catalog/salesItemDetails.do?id=101651</v>
      </c>
      <c r="B1329" s="5" t="s">
        <v>3672</v>
      </c>
      <c r="C1329" s="5" t="s">
        <v>3607</v>
      </c>
      <c r="D1329" s="5" t="s">
        <v>3673</v>
      </c>
      <c r="E1329" s="5" t="s">
        <v>3674</v>
      </c>
      <c r="F1329" s="5" t="s">
        <v>16</v>
      </c>
      <c r="G1329" s="5" t="s">
        <v>36</v>
      </c>
      <c r="H1329" s="5"/>
      <c r="I1329" s="5"/>
      <c r="J1329" s="5" t="s">
        <v>19</v>
      </c>
      <c r="K1329" s="5"/>
      <c r="L1329" s="5"/>
    </row>
    <row r="1330" customFormat="false" ht="13.35" hidden="false" customHeight="true" outlineLevel="0" collapsed="false">
      <c r="A1330" s="2" t="str">
        <f aca="false">HYPERLINK("https://www.fabsurplus.com/sdi_catalog/salesItemDetails.do?id=103097")</f>
        <v>https://www.fabsurplus.com/sdi_catalog/salesItemDetails.do?id=103097</v>
      </c>
      <c r="B1330" s="2" t="s">
        <v>3675</v>
      </c>
      <c r="C1330" s="2" t="s">
        <v>3607</v>
      </c>
      <c r="D1330" s="2" t="s">
        <v>3676</v>
      </c>
      <c r="E1330" s="2" t="s">
        <v>1488</v>
      </c>
      <c r="F1330" s="2" t="s">
        <v>16</v>
      </c>
      <c r="G1330" s="2" t="s">
        <v>658</v>
      </c>
      <c r="H1330" s="2"/>
      <c r="I1330" s="2"/>
      <c r="J1330" s="2" t="s">
        <v>19</v>
      </c>
      <c r="K1330" s="2"/>
      <c r="L1330" s="2" t="s">
        <v>3178</v>
      </c>
    </row>
    <row r="1331" customFormat="false" ht="13.35" hidden="false" customHeight="true" outlineLevel="0" collapsed="false">
      <c r="A1331" s="5" t="str">
        <f aca="false">HYPERLINK("https://www.fabsurplus.com/sdi_catalog/salesItemDetails.do?id=103098")</f>
        <v>https://www.fabsurplus.com/sdi_catalog/salesItemDetails.do?id=103098</v>
      </c>
      <c r="B1331" s="5" t="s">
        <v>3677</v>
      </c>
      <c r="C1331" s="5" t="s">
        <v>3607</v>
      </c>
      <c r="D1331" s="5" t="s">
        <v>3676</v>
      </c>
      <c r="E1331" s="5" t="s">
        <v>1488</v>
      </c>
      <c r="F1331" s="5" t="s">
        <v>16</v>
      </c>
      <c r="G1331" s="5" t="s">
        <v>658</v>
      </c>
      <c r="H1331" s="5"/>
      <c r="I1331" s="5"/>
      <c r="J1331" s="5" t="s">
        <v>19</v>
      </c>
      <c r="K1331" s="5"/>
      <c r="L1331" s="5" t="s">
        <v>3678</v>
      </c>
    </row>
    <row r="1332" customFormat="false" ht="13.35" hidden="false" customHeight="true" outlineLevel="0" collapsed="false">
      <c r="A1332" s="5" t="str">
        <f aca="false">HYPERLINK("https://www.fabsurplus.com/sdi_catalog/salesItemDetails.do?id=91440")</f>
        <v>https://www.fabsurplus.com/sdi_catalog/salesItemDetails.do?id=91440</v>
      </c>
      <c r="B1332" s="5" t="s">
        <v>3679</v>
      </c>
      <c r="C1332" s="5" t="s">
        <v>3607</v>
      </c>
      <c r="D1332" s="5" t="s">
        <v>3680</v>
      </c>
      <c r="E1332" s="5" t="s">
        <v>3681</v>
      </c>
      <c r="F1332" s="5" t="s">
        <v>16</v>
      </c>
      <c r="G1332" s="5" t="s">
        <v>17</v>
      </c>
      <c r="H1332" s="5" t="s">
        <v>18</v>
      </c>
      <c r="I1332" s="6" t="n">
        <v>39600</v>
      </c>
      <c r="J1332" s="5" t="s">
        <v>19</v>
      </c>
      <c r="K1332" s="5" t="s">
        <v>20</v>
      </c>
      <c r="L1332" s="7" t="s">
        <v>3682</v>
      </c>
    </row>
    <row r="1333" customFormat="false" ht="13.35" hidden="false" customHeight="true" outlineLevel="0" collapsed="false">
      <c r="A1333" s="2" t="str">
        <f aca="false">HYPERLINK("https://www.fabsurplus.com/sdi_catalog/salesItemDetails.do?id=93090")</f>
        <v>https://www.fabsurplus.com/sdi_catalog/salesItemDetails.do?id=93090</v>
      </c>
      <c r="B1333" s="2" t="s">
        <v>3683</v>
      </c>
      <c r="C1333" s="2" t="s">
        <v>3607</v>
      </c>
      <c r="D1333" s="2" t="s">
        <v>3684</v>
      </c>
      <c r="E1333" s="2" t="s">
        <v>3685</v>
      </c>
      <c r="F1333" s="2" t="s">
        <v>16</v>
      </c>
      <c r="G1333" s="2" t="s">
        <v>17</v>
      </c>
      <c r="H1333" s="2"/>
      <c r="I1333" s="2"/>
      <c r="J1333" s="2" t="s">
        <v>19</v>
      </c>
      <c r="K1333" s="2"/>
      <c r="L1333" s="2" t="s">
        <v>112</v>
      </c>
    </row>
    <row r="1334" customFormat="false" ht="13.35" hidden="false" customHeight="true" outlineLevel="0" collapsed="false">
      <c r="A1334" s="2" t="str">
        <f aca="false">HYPERLINK("https://www.fabsurplus.com/sdi_catalog/salesItemDetails.do?id=97453")</f>
        <v>https://www.fabsurplus.com/sdi_catalog/salesItemDetails.do?id=97453</v>
      </c>
      <c r="B1334" s="2" t="s">
        <v>3686</v>
      </c>
      <c r="C1334" s="2" t="s">
        <v>3607</v>
      </c>
      <c r="D1334" s="2" t="s">
        <v>3687</v>
      </c>
      <c r="E1334" s="2" t="s">
        <v>3688</v>
      </c>
      <c r="F1334" s="2" t="s">
        <v>16</v>
      </c>
      <c r="G1334" s="2" t="s">
        <v>17</v>
      </c>
      <c r="H1334" s="2" t="s">
        <v>18</v>
      </c>
      <c r="I1334" s="3" t="n">
        <v>40299</v>
      </c>
      <c r="J1334" s="2" t="s">
        <v>19</v>
      </c>
      <c r="K1334" s="2" t="s">
        <v>20</v>
      </c>
      <c r="L1334" s="4" t="s">
        <v>3689</v>
      </c>
    </row>
    <row r="1335" customFormat="false" ht="13.35" hidden="false" customHeight="true" outlineLevel="0" collapsed="false">
      <c r="A1335" s="2" t="str">
        <f aca="false">HYPERLINK("https://www.fabsurplus.com/sdi_catalog/salesItemDetails.do?id=102708")</f>
        <v>https://www.fabsurplus.com/sdi_catalog/salesItemDetails.do?id=102708</v>
      </c>
      <c r="B1335" s="2" t="s">
        <v>3690</v>
      </c>
      <c r="C1335" s="2" t="s">
        <v>3607</v>
      </c>
      <c r="D1335" s="2" t="s">
        <v>3691</v>
      </c>
      <c r="E1335" s="2" t="s">
        <v>3688</v>
      </c>
      <c r="F1335" s="2" t="s">
        <v>16</v>
      </c>
      <c r="G1335" s="2" t="s">
        <v>17</v>
      </c>
      <c r="H1335" s="2"/>
      <c r="I1335" s="3" t="n">
        <v>41061</v>
      </c>
      <c r="J1335" s="2" t="s">
        <v>19</v>
      </c>
      <c r="K1335" s="2"/>
      <c r="L1335" s="4" t="s">
        <v>3692</v>
      </c>
    </row>
    <row r="1336" customFormat="false" ht="13.35" hidden="false" customHeight="true" outlineLevel="0" collapsed="false">
      <c r="A1336" s="5" t="str">
        <f aca="false">HYPERLINK("https://www.fabsurplus.com/sdi_catalog/salesItemDetails.do?id=93091")</f>
        <v>https://www.fabsurplus.com/sdi_catalog/salesItemDetails.do?id=93091</v>
      </c>
      <c r="B1336" s="5" t="s">
        <v>3693</v>
      </c>
      <c r="C1336" s="5" t="s">
        <v>3607</v>
      </c>
      <c r="D1336" s="5" t="s">
        <v>3694</v>
      </c>
      <c r="E1336" s="5" t="s">
        <v>3685</v>
      </c>
      <c r="F1336" s="5" t="s">
        <v>16</v>
      </c>
      <c r="G1336" s="5" t="s">
        <v>17</v>
      </c>
      <c r="H1336" s="5" t="s">
        <v>26</v>
      </c>
      <c r="I1336" s="6" t="n">
        <v>40848</v>
      </c>
      <c r="J1336" s="5" t="s">
        <v>19</v>
      </c>
      <c r="K1336" s="5" t="s">
        <v>20</v>
      </c>
      <c r="L1336" s="7" t="s">
        <v>3695</v>
      </c>
    </row>
    <row r="1337" customFormat="false" ht="13.35" hidden="false" customHeight="true" outlineLevel="0" collapsed="false">
      <c r="A1337" s="5" t="str">
        <f aca="false">HYPERLINK("https://www.fabsurplus.com/sdi_catalog/salesItemDetails.do?id=93092")</f>
        <v>https://www.fabsurplus.com/sdi_catalog/salesItemDetails.do?id=93092</v>
      </c>
      <c r="B1337" s="5" t="s">
        <v>3696</v>
      </c>
      <c r="C1337" s="5" t="s">
        <v>3607</v>
      </c>
      <c r="D1337" s="5" t="s">
        <v>3697</v>
      </c>
      <c r="E1337" s="5" t="s">
        <v>3685</v>
      </c>
      <c r="F1337" s="5" t="s">
        <v>16</v>
      </c>
      <c r="G1337" s="5" t="s">
        <v>17</v>
      </c>
      <c r="H1337" s="5" t="s">
        <v>26</v>
      </c>
      <c r="I1337" s="6" t="n">
        <v>40360</v>
      </c>
      <c r="J1337" s="5" t="s">
        <v>19</v>
      </c>
      <c r="K1337" s="5"/>
      <c r="L1337" s="7" t="s">
        <v>3698</v>
      </c>
    </row>
    <row r="1338" customFormat="false" ht="13.35" hidden="false" customHeight="true" outlineLevel="0" collapsed="false">
      <c r="A1338" s="2" t="str">
        <f aca="false">HYPERLINK("https://www.fabsurplus.com/sdi_catalog/salesItemDetails.do?id=94464")</f>
        <v>https://www.fabsurplus.com/sdi_catalog/salesItemDetails.do?id=94464</v>
      </c>
      <c r="B1338" s="2" t="s">
        <v>3699</v>
      </c>
      <c r="C1338" s="2" t="s">
        <v>3607</v>
      </c>
      <c r="D1338" s="2" t="s">
        <v>3700</v>
      </c>
      <c r="E1338" s="2" t="s">
        <v>3685</v>
      </c>
      <c r="F1338" s="2" t="s">
        <v>16</v>
      </c>
      <c r="G1338" s="2" t="s">
        <v>36</v>
      </c>
      <c r="H1338" s="2" t="s">
        <v>26</v>
      </c>
      <c r="I1338" s="3" t="n">
        <v>38261</v>
      </c>
      <c r="J1338" s="2" t="s">
        <v>19</v>
      </c>
      <c r="K1338" s="2" t="s">
        <v>20</v>
      </c>
      <c r="L1338" s="2" t="s">
        <v>3701</v>
      </c>
    </row>
    <row r="1339" customFormat="false" ht="13.35" hidden="false" customHeight="true" outlineLevel="0" collapsed="false">
      <c r="A1339" s="5" t="str">
        <f aca="false">HYPERLINK("https://www.fabsurplus.com/sdi_catalog/salesItemDetails.do?id=91441")</f>
        <v>https://www.fabsurplus.com/sdi_catalog/salesItemDetails.do?id=91441</v>
      </c>
      <c r="B1339" s="5" t="s">
        <v>3702</v>
      </c>
      <c r="C1339" s="5" t="s">
        <v>3607</v>
      </c>
      <c r="D1339" s="5" t="s">
        <v>3703</v>
      </c>
      <c r="E1339" s="5" t="s">
        <v>3681</v>
      </c>
      <c r="F1339" s="5" t="s">
        <v>16</v>
      </c>
      <c r="G1339" s="5" t="s">
        <v>17</v>
      </c>
      <c r="H1339" s="5"/>
      <c r="I1339" s="5"/>
      <c r="J1339" s="5" t="s">
        <v>19</v>
      </c>
      <c r="K1339" s="5"/>
      <c r="L1339" s="5" t="s">
        <v>112</v>
      </c>
    </row>
    <row r="1340" customFormat="false" ht="13.35" hidden="false" customHeight="true" outlineLevel="0" collapsed="false">
      <c r="A1340" s="5" t="str">
        <f aca="false">HYPERLINK("https://www.fabsurplus.com/sdi_catalog/salesItemDetails.do?id=102259")</f>
        <v>https://www.fabsurplus.com/sdi_catalog/salesItemDetails.do?id=102259</v>
      </c>
      <c r="B1340" s="5" t="s">
        <v>3704</v>
      </c>
      <c r="C1340" s="5" t="s">
        <v>3607</v>
      </c>
      <c r="D1340" s="5" t="s">
        <v>3705</v>
      </c>
      <c r="E1340" s="5" t="s">
        <v>3706</v>
      </c>
      <c r="F1340" s="5" t="s">
        <v>16</v>
      </c>
      <c r="G1340" s="5" t="s">
        <v>17</v>
      </c>
      <c r="H1340" s="5"/>
      <c r="I1340" s="6" t="n">
        <v>39600</v>
      </c>
      <c r="J1340" s="5" t="s">
        <v>19</v>
      </c>
      <c r="K1340" s="5"/>
      <c r="L1340" s="5"/>
    </row>
    <row r="1341" customFormat="false" ht="13.35" hidden="false" customHeight="true" outlineLevel="0" collapsed="false">
      <c r="A1341" s="5" t="str">
        <f aca="false">HYPERLINK("https://www.fabsurplus.com/sdi_catalog/salesItemDetails.do?id=93096")</f>
        <v>https://www.fabsurplus.com/sdi_catalog/salesItemDetails.do?id=93096</v>
      </c>
      <c r="B1341" s="5" t="s">
        <v>3707</v>
      </c>
      <c r="C1341" s="5" t="s">
        <v>3607</v>
      </c>
      <c r="D1341" s="5" t="s">
        <v>3708</v>
      </c>
      <c r="E1341" s="5" t="s">
        <v>3685</v>
      </c>
      <c r="F1341" s="5" t="s">
        <v>16</v>
      </c>
      <c r="G1341" s="5" t="s">
        <v>663</v>
      </c>
      <c r="H1341" s="5"/>
      <c r="I1341" s="6" t="n">
        <v>37773</v>
      </c>
      <c r="J1341" s="5" t="s">
        <v>19</v>
      </c>
      <c r="K1341" s="5"/>
      <c r="L1341" s="5" t="s">
        <v>112</v>
      </c>
    </row>
    <row r="1342" customFormat="false" ht="13.35" hidden="false" customHeight="true" outlineLevel="0" collapsed="false">
      <c r="A1342" s="2" t="str">
        <f aca="false">HYPERLINK("https://www.fabsurplus.com/sdi_catalog/salesItemDetails.do?id=94465")</f>
        <v>https://www.fabsurplus.com/sdi_catalog/salesItemDetails.do?id=94465</v>
      </c>
      <c r="B1342" s="2" t="s">
        <v>3709</v>
      </c>
      <c r="C1342" s="2" t="s">
        <v>3607</v>
      </c>
      <c r="D1342" s="2" t="s">
        <v>3710</v>
      </c>
      <c r="E1342" s="2" t="s">
        <v>3685</v>
      </c>
      <c r="F1342" s="2" t="s">
        <v>16</v>
      </c>
      <c r="G1342" s="2" t="s">
        <v>17</v>
      </c>
      <c r="H1342" s="2"/>
      <c r="I1342" s="3" t="n">
        <v>39234</v>
      </c>
      <c r="J1342" s="2" t="s">
        <v>19</v>
      </c>
      <c r="K1342" s="2"/>
      <c r="L1342" s="2" t="s">
        <v>2280</v>
      </c>
    </row>
    <row r="1343" customFormat="false" ht="13.35" hidden="false" customHeight="true" outlineLevel="0" collapsed="false">
      <c r="A1343" s="2" t="str">
        <f aca="false">HYPERLINK("https://www.fabsurplus.com/sdi_catalog/salesItemDetails.do?id=94466")</f>
        <v>https://www.fabsurplus.com/sdi_catalog/salesItemDetails.do?id=94466</v>
      </c>
      <c r="B1343" s="2" t="s">
        <v>3711</v>
      </c>
      <c r="C1343" s="2" t="s">
        <v>3607</v>
      </c>
      <c r="D1343" s="2" t="s">
        <v>3710</v>
      </c>
      <c r="E1343" s="2" t="s">
        <v>3685</v>
      </c>
      <c r="F1343" s="2" t="s">
        <v>16</v>
      </c>
      <c r="G1343" s="2" t="s">
        <v>17</v>
      </c>
      <c r="H1343" s="2"/>
      <c r="I1343" s="3" t="n">
        <v>39234</v>
      </c>
      <c r="J1343" s="2" t="s">
        <v>19</v>
      </c>
      <c r="K1343" s="2"/>
      <c r="L1343" s="2" t="s">
        <v>2280</v>
      </c>
    </row>
    <row r="1344" customFormat="false" ht="13.35" hidden="false" customHeight="true" outlineLevel="0" collapsed="false">
      <c r="A1344" s="2" t="str">
        <f aca="false">HYPERLINK("https://www.fabsurplus.com/sdi_catalog/salesItemDetails.do?id=91442")</f>
        <v>https://www.fabsurplus.com/sdi_catalog/salesItemDetails.do?id=91442</v>
      </c>
      <c r="B1344" s="2" t="s">
        <v>3712</v>
      </c>
      <c r="C1344" s="2" t="s">
        <v>3607</v>
      </c>
      <c r="D1344" s="2" t="s">
        <v>3710</v>
      </c>
      <c r="E1344" s="2" t="s">
        <v>3681</v>
      </c>
      <c r="F1344" s="2" t="s">
        <v>16</v>
      </c>
      <c r="G1344" s="2" t="s">
        <v>17</v>
      </c>
      <c r="H1344" s="2" t="s">
        <v>26</v>
      </c>
      <c r="I1344" s="3" t="n">
        <v>39234</v>
      </c>
      <c r="J1344" s="2" t="s">
        <v>19</v>
      </c>
      <c r="K1344" s="2" t="s">
        <v>20</v>
      </c>
      <c r="L1344" s="4" t="s">
        <v>3713</v>
      </c>
    </row>
    <row r="1345" customFormat="false" ht="13.35" hidden="false" customHeight="true" outlineLevel="0" collapsed="false">
      <c r="A1345" s="5" t="str">
        <f aca="false">HYPERLINK("https://www.fabsurplus.com/sdi_catalog/salesItemDetails.do?id=91443")</f>
        <v>https://www.fabsurplus.com/sdi_catalog/salesItemDetails.do?id=91443</v>
      </c>
      <c r="B1345" s="5" t="s">
        <v>3714</v>
      </c>
      <c r="C1345" s="5" t="s">
        <v>3607</v>
      </c>
      <c r="D1345" s="5" t="s">
        <v>3710</v>
      </c>
      <c r="E1345" s="5" t="s">
        <v>3681</v>
      </c>
      <c r="F1345" s="5" t="s">
        <v>16</v>
      </c>
      <c r="G1345" s="5" t="s">
        <v>17</v>
      </c>
      <c r="H1345" s="5"/>
      <c r="I1345" s="6" t="n">
        <v>37773</v>
      </c>
      <c r="J1345" s="5" t="s">
        <v>19</v>
      </c>
      <c r="K1345" s="5"/>
      <c r="L1345" s="5" t="s">
        <v>112</v>
      </c>
    </row>
    <row r="1346" customFormat="false" ht="13.35" hidden="false" customHeight="true" outlineLevel="0" collapsed="false">
      <c r="A1346" s="2" t="str">
        <f aca="false">HYPERLINK("https://www.fabsurplus.com/sdi_catalog/salesItemDetails.do?id=91444")</f>
        <v>https://www.fabsurplus.com/sdi_catalog/salesItemDetails.do?id=91444</v>
      </c>
      <c r="B1346" s="2" t="s">
        <v>3715</v>
      </c>
      <c r="C1346" s="2" t="s">
        <v>3607</v>
      </c>
      <c r="D1346" s="2" t="s">
        <v>3710</v>
      </c>
      <c r="E1346" s="2" t="s">
        <v>3681</v>
      </c>
      <c r="F1346" s="2" t="s">
        <v>16</v>
      </c>
      <c r="G1346" s="2" t="s">
        <v>17</v>
      </c>
      <c r="H1346" s="2"/>
      <c r="I1346" s="2"/>
      <c r="J1346" s="2" t="s">
        <v>19</v>
      </c>
      <c r="K1346" s="2"/>
      <c r="L1346" s="2" t="s">
        <v>112</v>
      </c>
    </row>
    <row r="1347" customFormat="false" ht="13.35" hidden="false" customHeight="true" outlineLevel="0" collapsed="false">
      <c r="A1347" s="5" t="str">
        <f aca="false">HYPERLINK("https://www.fabsurplus.com/sdi_catalog/salesItemDetails.do?id=91445")</f>
        <v>https://www.fabsurplus.com/sdi_catalog/salesItemDetails.do?id=91445</v>
      </c>
      <c r="B1347" s="5" t="s">
        <v>3716</v>
      </c>
      <c r="C1347" s="5" t="s">
        <v>3607</v>
      </c>
      <c r="D1347" s="5" t="s">
        <v>3717</v>
      </c>
      <c r="E1347" s="5" t="s">
        <v>3681</v>
      </c>
      <c r="F1347" s="5" t="s">
        <v>16</v>
      </c>
      <c r="G1347" s="5" t="s">
        <v>17</v>
      </c>
      <c r="H1347" s="5"/>
      <c r="I1347" s="6" t="n">
        <v>38869</v>
      </c>
      <c r="J1347" s="5" t="s">
        <v>19</v>
      </c>
      <c r="K1347" s="5"/>
      <c r="L1347" s="5" t="s">
        <v>112</v>
      </c>
    </row>
    <row r="1348" customFormat="false" ht="13.35" hidden="false" customHeight="true" outlineLevel="0" collapsed="false">
      <c r="A1348" s="2" t="str">
        <f aca="false">HYPERLINK("https://www.fabsurplus.com/sdi_catalog/salesItemDetails.do?id=91446")</f>
        <v>https://www.fabsurplus.com/sdi_catalog/salesItemDetails.do?id=91446</v>
      </c>
      <c r="B1348" s="2" t="s">
        <v>3718</v>
      </c>
      <c r="C1348" s="2" t="s">
        <v>3607</v>
      </c>
      <c r="D1348" s="2" t="s">
        <v>3717</v>
      </c>
      <c r="E1348" s="2" t="s">
        <v>3681</v>
      </c>
      <c r="F1348" s="2" t="s">
        <v>16</v>
      </c>
      <c r="G1348" s="2" t="s">
        <v>17</v>
      </c>
      <c r="H1348" s="2"/>
      <c r="I1348" s="3" t="n">
        <v>39234</v>
      </c>
      <c r="J1348" s="2" t="s">
        <v>19</v>
      </c>
      <c r="K1348" s="2"/>
      <c r="L1348" s="2" t="s">
        <v>112</v>
      </c>
    </row>
    <row r="1349" customFormat="false" ht="13.35" hidden="false" customHeight="true" outlineLevel="0" collapsed="false">
      <c r="A1349" s="5" t="str">
        <f aca="false">HYPERLINK("https://www.fabsurplus.com/sdi_catalog/salesItemDetails.do?id=91447")</f>
        <v>https://www.fabsurplus.com/sdi_catalog/salesItemDetails.do?id=91447</v>
      </c>
      <c r="B1349" s="5" t="s">
        <v>3719</v>
      </c>
      <c r="C1349" s="5" t="s">
        <v>3607</v>
      </c>
      <c r="D1349" s="5" t="s">
        <v>3717</v>
      </c>
      <c r="E1349" s="5" t="s">
        <v>3681</v>
      </c>
      <c r="F1349" s="5" t="s">
        <v>16</v>
      </c>
      <c r="G1349" s="5" t="s">
        <v>17</v>
      </c>
      <c r="H1349" s="5"/>
      <c r="I1349" s="6" t="n">
        <v>39234</v>
      </c>
      <c r="J1349" s="5" t="s">
        <v>19</v>
      </c>
      <c r="K1349" s="5"/>
      <c r="L1349" s="5" t="s">
        <v>112</v>
      </c>
    </row>
    <row r="1350" customFormat="false" ht="13.35" hidden="false" customHeight="true" outlineLevel="0" collapsed="false">
      <c r="A1350" s="5" t="str">
        <f aca="false">HYPERLINK("https://www.fabsurplus.com/sdi_catalog/salesItemDetails.do?id=91007")</f>
        <v>https://www.fabsurplus.com/sdi_catalog/salesItemDetails.do?id=91007</v>
      </c>
      <c r="B1350" s="5" t="s">
        <v>3720</v>
      </c>
      <c r="C1350" s="5" t="s">
        <v>3607</v>
      </c>
      <c r="D1350" s="5" t="s">
        <v>3721</v>
      </c>
      <c r="E1350" s="5" t="s">
        <v>3722</v>
      </c>
      <c r="F1350" s="5" t="s">
        <v>16</v>
      </c>
      <c r="G1350" s="5" t="s">
        <v>663</v>
      </c>
      <c r="H1350" s="5" t="s">
        <v>3723</v>
      </c>
      <c r="I1350" s="6" t="n">
        <v>37926</v>
      </c>
      <c r="J1350" s="5" t="s">
        <v>19</v>
      </c>
      <c r="K1350" s="5" t="s">
        <v>20</v>
      </c>
      <c r="L1350" s="7" t="s">
        <v>3724</v>
      </c>
    </row>
    <row r="1351" customFormat="false" ht="13.35" hidden="false" customHeight="true" outlineLevel="0" collapsed="false">
      <c r="A1351" s="2" t="str">
        <f aca="false">HYPERLINK("https://www.fabsurplus.com/sdi_catalog/salesItemDetails.do?id=102260")</f>
        <v>https://www.fabsurplus.com/sdi_catalog/salesItemDetails.do?id=102260</v>
      </c>
      <c r="B1351" s="2" t="s">
        <v>3725</v>
      </c>
      <c r="C1351" s="2" t="s">
        <v>3607</v>
      </c>
      <c r="D1351" s="2" t="s">
        <v>3726</v>
      </c>
      <c r="E1351" s="2" t="s">
        <v>3727</v>
      </c>
      <c r="F1351" s="2" t="s">
        <v>16</v>
      </c>
      <c r="G1351" s="2" t="s">
        <v>3728</v>
      </c>
      <c r="H1351" s="2"/>
      <c r="I1351" s="3" t="n">
        <v>37043</v>
      </c>
      <c r="J1351" s="2" t="s">
        <v>19</v>
      </c>
      <c r="K1351" s="2"/>
      <c r="L1351" s="2"/>
    </row>
    <row r="1352" customFormat="false" ht="13.35" hidden="false" customHeight="true" outlineLevel="0" collapsed="false">
      <c r="A1352" s="2" t="str">
        <f aca="false">HYPERLINK("https://www.fabsurplus.com/sdi_catalog/salesItemDetails.do?id=101625")</f>
        <v>https://www.fabsurplus.com/sdi_catalog/salesItemDetails.do?id=101625</v>
      </c>
      <c r="B1352" s="2" t="s">
        <v>3729</v>
      </c>
      <c r="C1352" s="2" t="s">
        <v>3607</v>
      </c>
      <c r="D1352" s="2" t="s">
        <v>3730</v>
      </c>
      <c r="E1352" s="2" t="s">
        <v>3731</v>
      </c>
      <c r="F1352" s="2" t="s">
        <v>16</v>
      </c>
      <c r="G1352" s="2" t="s">
        <v>160</v>
      </c>
      <c r="H1352" s="2"/>
      <c r="I1352" s="2"/>
      <c r="J1352" s="2" t="s">
        <v>19</v>
      </c>
      <c r="K1352" s="2"/>
      <c r="L1352" s="2"/>
    </row>
    <row r="1353" customFormat="false" ht="13.35" hidden="false" customHeight="true" outlineLevel="0" collapsed="false">
      <c r="A1353" s="2" t="str">
        <f aca="false">HYPERLINK("https://www.fabsurplus.com/sdi_catalog/salesItemDetails.do?id=101626")</f>
        <v>https://www.fabsurplus.com/sdi_catalog/salesItemDetails.do?id=101626</v>
      </c>
      <c r="B1353" s="2" t="s">
        <v>3732</v>
      </c>
      <c r="C1353" s="2" t="s">
        <v>3607</v>
      </c>
      <c r="D1353" s="2" t="s">
        <v>3730</v>
      </c>
      <c r="E1353" s="2" t="s">
        <v>3733</v>
      </c>
      <c r="F1353" s="2" t="s">
        <v>16</v>
      </c>
      <c r="G1353" s="2" t="s">
        <v>160</v>
      </c>
      <c r="H1353" s="2"/>
      <c r="I1353" s="2"/>
      <c r="J1353" s="2" t="s">
        <v>19</v>
      </c>
      <c r="K1353" s="2"/>
      <c r="L1353" s="2"/>
    </row>
    <row r="1354" customFormat="false" ht="13.35" hidden="false" customHeight="true" outlineLevel="0" collapsed="false">
      <c r="A1354" s="2" t="str">
        <f aca="false">HYPERLINK("https://www.fabsurplus.com/sdi_catalog/salesItemDetails.do?id=102261")</f>
        <v>https://www.fabsurplus.com/sdi_catalog/salesItemDetails.do?id=102261</v>
      </c>
      <c r="B1354" s="2" t="s">
        <v>3734</v>
      </c>
      <c r="C1354" s="2" t="s">
        <v>3607</v>
      </c>
      <c r="D1354" s="2" t="s">
        <v>3735</v>
      </c>
      <c r="E1354" s="2" t="s">
        <v>3736</v>
      </c>
      <c r="F1354" s="2" t="s">
        <v>16</v>
      </c>
      <c r="G1354" s="2" t="s">
        <v>36</v>
      </c>
      <c r="H1354" s="2"/>
      <c r="I1354" s="3" t="n">
        <v>35947</v>
      </c>
      <c r="J1354" s="2" t="s">
        <v>19</v>
      </c>
      <c r="K1354" s="2"/>
      <c r="L1354" s="2"/>
    </row>
    <row r="1355" customFormat="false" ht="13.35" hidden="false" customHeight="true" outlineLevel="0" collapsed="false">
      <c r="A1355" s="5" t="str">
        <f aca="false">HYPERLINK("https://www.fabsurplus.com/sdi_catalog/salesItemDetails.do?id=102262")</f>
        <v>https://www.fabsurplus.com/sdi_catalog/salesItemDetails.do?id=102262</v>
      </c>
      <c r="B1355" s="5" t="s">
        <v>3737</v>
      </c>
      <c r="C1355" s="5" t="s">
        <v>3607</v>
      </c>
      <c r="D1355" s="5" t="s">
        <v>3738</v>
      </c>
      <c r="E1355" s="5" t="s">
        <v>3739</v>
      </c>
      <c r="F1355" s="5" t="s">
        <v>16</v>
      </c>
      <c r="G1355" s="5"/>
      <c r="H1355" s="5"/>
      <c r="I1355" s="6" t="n">
        <v>41061</v>
      </c>
      <c r="J1355" s="5" t="s">
        <v>19</v>
      </c>
      <c r="K1355" s="5"/>
      <c r="L1355" s="5"/>
    </row>
    <row r="1356" customFormat="false" ht="13.35" hidden="false" customHeight="true" outlineLevel="0" collapsed="false">
      <c r="A1356" s="5" t="str">
        <f aca="false">HYPERLINK("https://www.fabsurplus.com/sdi_catalog/salesItemDetails.do?id=102263")</f>
        <v>https://www.fabsurplus.com/sdi_catalog/salesItemDetails.do?id=102263</v>
      </c>
      <c r="B1356" s="5" t="s">
        <v>3740</v>
      </c>
      <c r="C1356" s="5" t="s">
        <v>3607</v>
      </c>
      <c r="D1356" s="5" t="s">
        <v>3741</v>
      </c>
      <c r="E1356" s="5" t="s">
        <v>3742</v>
      </c>
      <c r="F1356" s="5" t="s">
        <v>16</v>
      </c>
      <c r="G1356" s="5" t="s">
        <v>17</v>
      </c>
      <c r="H1356" s="5"/>
      <c r="I1356" s="6" t="n">
        <v>38139</v>
      </c>
      <c r="J1356" s="5" t="s">
        <v>19</v>
      </c>
      <c r="K1356" s="5"/>
      <c r="L1356" s="5"/>
    </row>
    <row r="1357" customFormat="false" ht="13.35" hidden="false" customHeight="true" outlineLevel="0" collapsed="false">
      <c r="A1357" s="2" t="str">
        <f aca="false">HYPERLINK("https://www.fabsurplus.com/sdi_catalog/salesItemDetails.do?id=102266")</f>
        <v>https://www.fabsurplus.com/sdi_catalog/salesItemDetails.do?id=102266</v>
      </c>
      <c r="B1357" s="2" t="s">
        <v>3743</v>
      </c>
      <c r="C1357" s="2" t="s">
        <v>3607</v>
      </c>
      <c r="D1357" s="2" t="s">
        <v>3744</v>
      </c>
      <c r="E1357" s="2" t="s">
        <v>3742</v>
      </c>
      <c r="F1357" s="2" t="s">
        <v>16</v>
      </c>
      <c r="G1357" s="2" t="s">
        <v>17</v>
      </c>
      <c r="H1357" s="2"/>
      <c r="I1357" s="3" t="n">
        <v>39234</v>
      </c>
      <c r="J1357" s="2" t="s">
        <v>19</v>
      </c>
      <c r="K1357" s="2"/>
      <c r="L1357" s="2"/>
    </row>
    <row r="1358" customFormat="false" ht="13.35" hidden="false" customHeight="true" outlineLevel="0" collapsed="false">
      <c r="A1358" s="5" t="str">
        <f aca="false">HYPERLINK("https://www.fabsurplus.com/sdi_catalog/salesItemDetails.do?id=102709")</f>
        <v>https://www.fabsurplus.com/sdi_catalog/salesItemDetails.do?id=102709</v>
      </c>
      <c r="B1358" s="5" t="s">
        <v>3745</v>
      </c>
      <c r="C1358" s="5" t="s">
        <v>3607</v>
      </c>
      <c r="D1358" s="5" t="s">
        <v>3744</v>
      </c>
      <c r="E1358" s="5" t="s">
        <v>3742</v>
      </c>
      <c r="F1358" s="5" t="s">
        <v>16</v>
      </c>
      <c r="G1358" s="5" t="s">
        <v>17</v>
      </c>
      <c r="H1358" s="5"/>
      <c r="I1358" s="5"/>
      <c r="J1358" s="5" t="s">
        <v>19</v>
      </c>
      <c r="K1358" s="5"/>
      <c r="L1358" s="7" t="s">
        <v>3746</v>
      </c>
    </row>
    <row r="1359" customFormat="false" ht="13.35" hidden="false" customHeight="true" outlineLevel="0" collapsed="false">
      <c r="A1359" s="2" t="str">
        <f aca="false">HYPERLINK("https://www.fabsurplus.com/sdi_catalog/salesItemDetails.do?id=102710")</f>
        <v>https://www.fabsurplus.com/sdi_catalog/salesItemDetails.do?id=102710</v>
      </c>
      <c r="B1359" s="2" t="s">
        <v>3747</v>
      </c>
      <c r="C1359" s="2" t="s">
        <v>3607</v>
      </c>
      <c r="D1359" s="2" t="s">
        <v>3744</v>
      </c>
      <c r="E1359" s="2" t="s">
        <v>3742</v>
      </c>
      <c r="F1359" s="2" t="s">
        <v>16</v>
      </c>
      <c r="G1359" s="2" t="s">
        <v>17</v>
      </c>
      <c r="H1359" s="2"/>
      <c r="I1359" s="2"/>
      <c r="J1359" s="2" t="s">
        <v>19</v>
      </c>
      <c r="K1359" s="2"/>
      <c r="L1359" s="4" t="s">
        <v>3748</v>
      </c>
    </row>
    <row r="1360" customFormat="false" ht="13.35" hidden="false" customHeight="true" outlineLevel="0" collapsed="false">
      <c r="A1360" s="5" t="str">
        <f aca="false">HYPERLINK("https://www.fabsurplus.com/sdi_catalog/salesItemDetails.do?id=102264")</f>
        <v>https://www.fabsurplus.com/sdi_catalog/salesItemDetails.do?id=102264</v>
      </c>
      <c r="B1360" s="5" t="s">
        <v>3749</v>
      </c>
      <c r="C1360" s="5" t="s">
        <v>3607</v>
      </c>
      <c r="D1360" s="5" t="s">
        <v>3744</v>
      </c>
      <c r="E1360" s="5" t="s">
        <v>3750</v>
      </c>
      <c r="F1360" s="5" t="s">
        <v>16</v>
      </c>
      <c r="G1360" s="5" t="s">
        <v>17</v>
      </c>
      <c r="H1360" s="5"/>
      <c r="I1360" s="6" t="n">
        <v>39234</v>
      </c>
      <c r="J1360" s="5" t="s">
        <v>19</v>
      </c>
      <c r="K1360" s="5"/>
      <c r="L1360" s="5"/>
    </row>
    <row r="1361" customFormat="false" ht="13.35" hidden="false" customHeight="true" outlineLevel="0" collapsed="false">
      <c r="A1361" s="2" t="str">
        <f aca="false">HYPERLINK("https://www.fabsurplus.com/sdi_catalog/salesItemDetails.do?id=102265")</f>
        <v>https://www.fabsurplus.com/sdi_catalog/salesItemDetails.do?id=102265</v>
      </c>
      <c r="B1361" s="2" t="s">
        <v>3751</v>
      </c>
      <c r="C1361" s="2" t="s">
        <v>3607</v>
      </c>
      <c r="D1361" s="2" t="s">
        <v>3744</v>
      </c>
      <c r="E1361" s="2" t="s">
        <v>3750</v>
      </c>
      <c r="F1361" s="2" t="s">
        <v>16</v>
      </c>
      <c r="G1361" s="2" t="s">
        <v>17</v>
      </c>
      <c r="H1361" s="2"/>
      <c r="I1361" s="3" t="n">
        <v>39234</v>
      </c>
      <c r="J1361" s="2" t="s">
        <v>19</v>
      </c>
      <c r="K1361" s="2"/>
      <c r="L1361" s="2"/>
    </row>
    <row r="1362" customFormat="false" ht="13.35" hidden="false" customHeight="true" outlineLevel="0" collapsed="false">
      <c r="A1362" s="2" t="str">
        <f aca="false">HYPERLINK("https://www.fabsurplus.com/sdi_catalog/salesItemDetails.do?id=92705")</f>
        <v>https://www.fabsurplus.com/sdi_catalog/salesItemDetails.do?id=92705</v>
      </c>
      <c r="B1362" s="2" t="s">
        <v>3752</v>
      </c>
      <c r="C1362" s="2" t="s">
        <v>3607</v>
      </c>
      <c r="D1362" s="2" t="s">
        <v>3753</v>
      </c>
      <c r="E1362" s="2" t="s">
        <v>3754</v>
      </c>
      <c r="F1362" s="2" t="s">
        <v>16</v>
      </c>
      <c r="G1362" s="2" t="s">
        <v>663</v>
      </c>
      <c r="H1362" s="2"/>
      <c r="I1362" s="3" t="n">
        <v>38869</v>
      </c>
      <c r="J1362" s="2" t="s">
        <v>19</v>
      </c>
      <c r="K1362" s="2"/>
      <c r="L1362" s="2" t="s">
        <v>112</v>
      </c>
    </row>
    <row r="1363" customFormat="false" ht="13.35" hidden="false" customHeight="true" outlineLevel="0" collapsed="false">
      <c r="A1363" s="5" t="str">
        <f aca="false">HYPERLINK("https://www.fabsurplus.com/sdi_catalog/salesItemDetails.do?id=98818")</f>
        <v>https://www.fabsurplus.com/sdi_catalog/salesItemDetails.do?id=98818</v>
      </c>
      <c r="B1363" s="5" t="s">
        <v>3755</v>
      </c>
      <c r="C1363" s="5" t="s">
        <v>3607</v>
      </c>
      <c r="D1363" s="5" t="s">
        <v>3756</v>
      </c>
      <c r="E1363" s="5" t="s">
        <v>3757</v>
      </c>
      <c r="F1363" s="5" t="s">
        <v>16</v>
      </c>
      <c r="G1363" s="5" t="s">
        <v>17</v>
      </c>
      <c r="H1363" s="5" t="s">
        <v>26</v>
      </c>
      <c r="I1363" s="6" t="n">
        <v>37135</v>
      </c>
      <c r="J1363" s="5" t="s">
        <v>19</v>
      </c>
      <c r="K1363" s="5" t="s">
        <v>20</v>
      </c>
      <c r="L1363" s="7" t="s">
        <v>654</v>
      </c>
    </row>
    <row r="1364" customFormat="false" ht="13.35" hidden="false" customHeight="true" outlineLevel="0" collapsed="false">
      <c r="A1364" s="2" t="str">
        <f aca="false">HYPERLINK("https://www.fabsurplus.com/sdi_catalog/salesItemDetails.do?id=102969")</f>
        <v>https://www.fabsurplus.com/sdi_catalog/salesItemDetails.do?id=102969</v>
      </c>
      <c r="B1364" s="2" t="s">
        <v>3758</v>
      </c>
      <c r="C1364" s="2" t="s">
        <v>3607</v>
      </c>
      <c r="D1364" s="2" t="s">
        <v>110</v>
      </c>
      <c r="E1364" s="2" t="s">
        <v>111</v>
      </c>
      <c r="F1364" s="2" t="s">
        <v>16</v>
      </c>
      <c r="G1364" s="2" t="s">
        <v>17</v>
      </c>
      <c r="H1364" s="2"/>
      <c r="I1364" s="3" t="n">
        <v>38504</v>
      </c>
      <c r="J1364" s="2" t="s">
        <v>19</v>
      </c>
      <c r="K1364" s="2"/>
      <c r="L1364" s="2"/>
    </row>
    <row r="1365" customFormat="false" ht="13.35" hidden="false" customHeight="true" outlineLevel="0" collapsed="false">
      <c r="A1365" s="2" t="str">
        <f aca="false">HYPERLINK("https://www.fabsurplus.com/sdi_catalog/salesItemDetails.do?id=103141")</f>
        <v>https://www.fabsurplus.com/sdi_catalog/salesItemDetails.do?id=103141</v>
      </c>
      <c r="B1365" s="2" t="s">
        <v>3759</v>
      </c>
      <c r="C1365" s="2" t="s">
        <v>3607</v>
      </c>
      <c r="D1365" s="2" t="s">
        <v>3760</v>
      </c>
      <c r="E1365" s="2" t="s">
        <v>3761</v>
      </c>
      <c r="F1365" s="2" t="s">
        <v>16</v>
      </c>
      <c r="G1365" s="2" t="s">
        <v>17</v>
      </c>
      <c r="H1365" s="2"/>
      <c r="I1365" s="2"/>
      <c r="J1365" s="2" t="s">
        <v>19</v>
      </c>
      <c r="K1365" s="2"/>
      <c r="L1365" s="2"/>
    </row>
    <row r="1366" customFormat="false" ht="13.35" hidden="false" customHeight="true" outlineLevel="0" collapsed="false">
      <c r="A1366" s="5" t="str">
        <f aca="false">HYPERLINK("https://www.fabsurplus.com/sdi_catalog/salesItemDetails.do?id=102267")</f>
        <v>https://www.fabsurplus.com/sdi_catalog/salesItemDetails.do?id=102267</v>
      </c>
      <c r="B1366" s="5" t="s">
        <v>3762</v>
      </c>
      <c r="C1366" s="5" t="s">
        <v>3607</v>
      </c>
      <c r="D1366" s="5" t="s">
        <v>3763</v>
      </c>
      <c r="E1366" s="5" t="s">
        <v>3727</v>
      </c>
      <c r="F1366" s="5" t="s">
        <v>16</v>
      </c>
      <c r="G1366" s="5" t="s">
        <v>17</v>
      </c>
      <c r="H1366" s="5"/>
      <c r="I1366" s="6" t="n">
        <v>38869</v>
      </c>
      <c r="J1366" s="5" t="s">
        <v>19</v>
      </c>
      <c r="K1366" s="5"/>
      <c r="L1366" s="5"/>
    </row>
    <row r="1367" customFormat="false" ht="13.35" hidden="false" customHeight="true" outlineLevel="0" collapsed="false">
      <c r="A1367" s="2" t="str">
        <f aca="false">HYPERLINK("https://www.fabsurplus.com/sdi_catalog/salesItemDetails.do?id=91451")</f>
        <v>https://www.fabsurplus.com/sdi_catalog/salesItemDetails.do?id=91451</v>
      </c>
      <c r="B1367" s="2" t="s">
        <v>3764</v>
      </c>
      <c r="C1367" s="2" t="s">
        <v>3607</v>
      </c>
      <c r="D1367" s="2" t="s">
        <v>3765</v>
      </c>
      <c r="E1367" s="2" t="s">
        <v>3766</v>
      </c>
      <c r="F1367" s="2" t="s">
        <v>16</v>
      </c>
      <c r="G1367" s="2" t="s">
        <v>17</v>
      </c>
      <c r="H1367" s="2"/>
      <c r="I1367" s="3" t="n">
        <v>38504</v>
      </c>
      <c r="J1367" s="2" t="s">
        <v>19</v>
      </c>
      <c r="K1367" s="2"/>
      <c r="L1367" s="2" t="s">
        <v>112</v>
      </c>
    </row>
    <row r="1368" customFormat="false" ht="13.35" hidden="false" customHeight="true" outlineLevel="0" collapsed="false">
      <c r="A1368" s="2" t="str">
        <f aca="false">HYPERLINK("https://www.fabsurplus.com/sdi_catalog/salesItemDetails.do?id=91452")</f>
        <v>https://www.fabsurplus.com/sdi_catalog/salesItemDetails.do?id=91452</v>
      </c>
      <c r="B1368" s="2" t="s">
        <v>3767</v>
      </c>
      <c r="C1368" s="2" t="s">
        <v>3607</v>
      </c>
      <c r="D1368" s="2" t="s">
        <v>3765</v>
      </c>
      <c r="E1368" s="2" t="s">
        <v>3766</v>
      </c>
      <c r="F1368" s="2" t="s">
        <v>16</v>
      </c>
      <c r="G1368" s="2" t="s">
        <v>17</v>
      </c>
      <c r="H1368" s="2"/>
      <c r="I1368" s="3" t="n">
        <v>39234</v>
      </c>
      <c r="J1368" s="2" t="s">
        <v>19</v>
      </c>
      <c r="K1368" s="2"/>
      <c r="L1368" s="2" t="s">
        <v>112</v>
      </c>
    </row>
    <row r="1369" customFormat="false" ht="13.35" hidden="false" customHeight="true" outlineLevel="0" collapsed="false">
      <c r="A1369" s="5" t="str">
        <f aca="false">HYPERLINK("https://www.fabsurplus.com/sdi_catalog/salesItemDetails.do?id=94469")</f>
        <v>https://www.fabsurplus.com/sdi_catalog/salesItemDetails.do?id=94469</v>
      </c>
      <c r="B1369" s="5" t="s">
        <v>3768</v>
      </c>
      <c r="C1369" s="5" t="s">
        <v>3607</v>
      </c>
      <c r="D1369" s="5" t="s">
        <v>3769</v>
      </c>
      <c r="E1369" s="5" t="s">
        <v>3770</v>
      </c>
      <c r="F1369" s="5" t="s">
        <v>16</v>
      </c>
      <c r="G1369" s="5" t="s">
        <v>3163</v>
      </c>
      <c r="H1369" s="5"/>
      <c r="I1369" s="5"/>
      <c r="J1369" s="5" t="s">
        <v>19</v>
      </c>
      <c r="K1369" s="5"/>
      <c r="L1369" s="5"/>
    </row>
    <row r="1370" customFormat="false" ht="13.35" hidden="false" customHeight="true" outlineLevel="0" collapsed="false">
      <c r="A1370" s="2" t="str">
        <f aca="false">HYPERLINK("https://www.fabsurplus.com/sdi_catalog/salesItemDetails.do?id=91453")</f>
        <v>https://www.fabsurplus.com/sdi_catalog/salesItemDetails.do?id=91453</v>
      </c>
      <c r="B1370" s="2" t="s">
        <v>3771</v>
      </c>
      <c r="C1370" s="2" t="s">
        <v>3607</v>
      </c>
      <c r="D1370" s="2" t="s">
        <v>3772</v>
      </c>
      <c r="E1370" s="2" t="s">
        <v>3770</v>
      </c>
      <c r="F1370" s="2" t="s">
        <v>16</v>
      </c>
      <c r="G1370" s="2" t="s">
        <v>3163</v>
      </c>
      <c r="H1370" s="2"/>
      <c r="I1370" s="2"/>
      <c r="J1370" s="2" t="s">
        <v>19</v>
      </c>
      <c r="K1370" s="2"/>
      <c r="L1370" s="2" t="s">
        <v>112</v>
      </c>
    </row>
    <row r="1371" customFormat="false" ht="13.35" hidden="false" customHeight="true" outlineLevel="0" collapsed="false">
      <c r="A1371" s="5" t="str">
        <f aca="false">HYPERLINK("https://www.fabsurplus.com/sdi_catalog/salesItemDetails.do?id=91454")</f>
        <v>https://www.fabsurplus.com/sdi_catalog/salesItemDetails.do?id=91454</v>
      </c>
      <c r="B1371" s="5" t="s">
        <v>3773</v>
      </c>
      <c r="C1371" s="5" t="s">
        <v>3607</v>
      </c>
      <c r="D1371" s="5" t="s">
        <v>3774</v>
      </c>
      <c r="E1371" s="5" t="s">
        <v>3770</v>
      </c>
      <c r="F1371" s="5" t="s">
        <v>16</v>
      </c>
      <c r="G1371" s="5" t="s">
        <v>3163</v>
      </c>
      <c r="H1371" s="5"/>
      <c r="I1371" s="5"/>
      <c r="J1371" s="5" t="s">
        <v>19</v>
      </c>
      <c r="K1371" s="5"/>
      <c r="L1371" s="5" t="s">
        <v>112</v>
      </c>
    </row>
    <row r="1372" customFormat="false" ht="13.35" hidden="false" customHeight="true" outlineLevel="0" collapsed="false">
      <c r="A1372" s="2" t="str">
        <f aca="false">HYPERLINK("https://www.fabsurplus.com/sdi_catalog/salesItemDetails.do?id=94470")</f>
        <v>https://www.fabsurplus.com/sdi_catalog/salesItemDetails.do?id=94470</v>
      </c>
      <c r="B1372" s="2" t="s">
        <v>3775</v>
      </c>
      <c r="C1372" s="2" t="s">
        <v>3607</v>
      </c>
      <c r="D1372" s="2" t="s">
        <v>3776</v>
      </c>
      <c r="E1372" s="2" t="s">
        <v>3777</v>
      </c>
      <c r="F1372" s="2" t="s">
        <v>16</v>
      </c>
      <c r="G1372" s="2" t="s">
        <v>17</v>
      </c>
      <c r="H1372" s="2"/>
      <c r="I1372" s="3" t="n">
        <v>39234</v>
      </c>
      <c r="J1372" s="2" t="s">
        <v>19</v>
      </c>
      <c r="K1372" s="2"/>
      <c r="L1372" s="2" t="s">
        <v>2280</v>
      </c>
    </row>
    <row r="1373" customFormat="false" ht="13.35" hidden="false" customHeight="true" outlineLevel="0" collapsed="false">
      <c r="A1373" s="5" t="str">
        <f aca="false">HYPERLINK("https://www.fabsurplus.com/sdi_catalog/salesItemDetails.do?id=94471")</f>
        <v>https://www.fabsurplus.com/sdi_catalog/salesItemDetails.do?id=94471</v>
      </c>
      <c r="B1373" s="5" t="s">
        <v>3778</v>
      </c>
      <c r="C1373" s="5" t="s">
        <v>3607</v>
      </c>
      <c r="D1373" s="5" t="s">
        <v>3779</v>
      </c>
      <c r="E1373" s="5" t="s">
        <v>3777</v>
      </c>
      <c r="F1373" s="5" t="s">
        <v>16</v>
      </c>
      <c r="G1373" s="5" t="s">
        <v>17</v>
      </c>
      <c r="H1373" s="5"/>
      <c r="I1373" s="6" t="n">
        <v>38504</v>
      </c>
      <c r="J1373" s="5" t="s">
        <v>19</v>
      </c>
      <c r="K1373" s="5"/>
      <c r="L1373" s="5" t="s">
        <v>2280</v>
      </c>
    </row>
    <row r="1374" customFormat="false" ht="13.35" hidden="false" customHeight="true" outlineLevel="0" collapsed="false">
      <c r="A1374" s="5" t="str">
        <f aca="false">HYPERLINK("https://www.fabsurplus.com/sdi_catalog/salesItemDetails.do?id=99912")</f>
        <v>https://www.fabsurplus.com/sdi_catalog/salesItemDetails.do?id=99912</v>
      </c>
      <c r="B1374" s="5" t="s">
        <v>3780</v>
      </c>
      <c r="C1374" s="5" t="s">
        <v>3607</v>
      </c>
      <c r="D1374" s="5" t="s">
        <v>3781</v>
      </c>
      <c r="E1374" s="5" t="s">
        <v>3287</v>
      </c>
      <c r="F1374" s="5" t="s">
        <v>16</v>
      </c>
      <c r="G1374" s="5" t="s">
        <v>36</v>
      </c>
      <c r="H1374" s="5"/>
      <c r="I1374" s="6" t="n">
        <v>34851</v>
      </c>
      <c r="J1374" s="5" t="s">
        <v>19</v>
      </c>
      <c r="K1374" s="5"/>
      <c r="L1374" s="5" t="s">
        <v>3782</v>
      </c>
    </row>
    <row r="1375" customFormat="false" ht="13.35" hidden="false" customHeight="true" outlineLevel="0" collapsed="false">
      <c r="A1375" s="2" t="str">
        <f aca="false">HYPERLINK("https://www.fabsurplus.com/sdi_catalog/salesItemDetails.do?id=101801")</f>
        <v>https://www.fabsurplus.com/sdi_catalog/salesItemDetails.do?id=101801</v>
      </c>
      <c r="B1375" s="2" t="s">
        <v>3783</v>
      </c>
      <c r="C1375" s="2" t="s">
        <v>3607</v>
      </c>
      <c r="D1375" s="2" t="s">
        <v>3784</v>
      </c>
      <c r="E1375" s="2" t="s">
        <v>3785</v>
      </c>
      <c r="F1375" s="2" t="s">
        <v>16</v>
      </c>
      <c r="G1375" s="2" t="s">
        <v>36</v>
      </c>
      <c r="H1375" s="2"/>
      <c r="I1375" s="3" t="n">
        <v>37043</v>
      </c>
      <c r="J1375" s="2" t="s">
        <v>47</v>
      </c>
      <c r="K1375" s="2"/>
      <c r="L1375" s="2"/>
    </row>
    <row r="1376" customFormat="false" ht="13.35" hidden="false" customHeight="true" outlineLevel="0" collapsed="false">
      <c r="A1376" s="2" t="str">
        <f aca="false">HYPERLINK("https://www.fabsurplus.com/sdi_catalog/salesItemDetails.do?id=91457")</f>
        <v>https://www.fabsurplus.com/sdi_catalog/salesItemDetails.do?id=91457</v>
      </c>
      <c r="B1376" s="2" t="s">
        <v>3786</v>
      </c>
      <c r="C1376" s="2" t="s">
        <v>3607</v>
      </c>
      <c r="D1376" s="2" t="s">
        <v>3787</v>
      </c>
      <c r="E1376" s="2" t="s">
        <v>3727</v>
      </c>
      <c r="F1376" s="2" t="s">
        <v>16</v>
      </c>
      <c r="G1376" s="2" t="s">
        <v>3788</v>
      </c>
      <c r="H1376" s="2"/>
      <c r="I1376" s="2"/>
      <c r="J1376" s="2" t="s">
        <v>19</v>
      </c>
      <c r="K1376" s="2"/>
      <c r="L1376" s="2" t="s">
        <v>112</v>
      </c>
    </row>
    <row r="1377" customFormat="false" ht="13.35" hidden="false" customHeight="true" outlineLevel="0" collapsed="false">
      <c r="A1377" s="5" t="str">
        <f aca="false">HYPERLINK("https://www.fabsurplus.com/sdi_catalog/salesItemDetails.do?id=93097")</f>
        <v>https://www.fabsurplus.com/sdi_catalog/salesItemDetails.do?id=93097</v>
      </c>
      <c r="B1377" s="5" t="s">
        <v>3789</v>
      </c>
      <c r="C1377" s="5" t="s">
        <v>3607</v>
      </c>
      <c r="D1377" s="5" t="s">
        <v>3790</v>
      </c>
      <c r="E1377" s="5" t="s">
        <v>3791</v>
      </c>
      <c r="F1377" s="5" t="s">
        <v>16</v>
      </c>
      <c r="G1377" s="5" t="s">
        <v>3163</v>
      </c>
      <c r="H1377" s="5"/>
      <c r="I1377" s="5"/>
      <c r="J1377" s="5" t="s">
        <v>19</v>
      </c>
      <c r="K1377" s="5"/>
      <c r="L1377" s="5" t="s">
        <v>112</v>
      </c>
    </row>
    <row r="1378" customFormat="false" ht="13.35" hidden="false" customHeight="true" outlineLevel="0" collapsed="false">
      <c r="A1378" s="5" t="str">
        <f aca="false">HYPERLINK("https://www.fabsurplus.com/sdi_catalog/salesItemDetails.do?id=102477")</f>
        <v>https://www.fabsurplus.com/sdi_catalog/salesItemDetails.do?id=102477</v>
      </c>
      <c r="B1378" s="5" t="s">
        <v>3792</v>
      </c>
      <c r="C1378" s="5" t="s">
        <v>3607</v>
      </c>
      <c r="D1378" s="5" t="s">
        <v>3790</v>
      </c>
      <c r="E1378" s="5" t="s">
        <v>3793</v>
      </c>
      <c r="F1378" s="5" t="s">
        <v>16</v>
      </c>
      <c r="G1378" s="5" t="s">
        <v>36</v>
      </c>
      <c r="H1378" s="5"/>
      <c r="I1378" s="5"/>
      <c r="J1378" s="5"/>
      <c r="K1378" s="5"/>
      <c r="L1378" s="5"/>
    </row>
    <row r="1379" customFormat="false" ht="13.35" hidden="false" customHeight="true" outlineLevel="0" collapsed="false">
      <c r="A1379" s="2" t="str">
        <f aca="false">HYPERLINK("https://www.fabsurplus.com/sdi_catalog/salesItemDetails.do?id=93098")</f>
        <v>https://www.fabsurplus.com/sdi_catalog/salesItemDetails.do?id=93098</v>
      </c>
      <c r="B1379" s="2" t="s">
        <v>3794</v>
      </c>
      <c r="C1379" s="2" t="s">
        <v>3607</v>
      </c>
      <c r="D1379" s="2" t="s">
        <v>3795</v>
      </c>
      <c r="E1379" s="2" t="s">
        <v>3791</v>
      </c>
      <c r="F1379" s="2" t="s">
        <v>16</v>
      </c>
      <c r="G1379" s="2" t="s">
        <v>3796</v>
      </c>
      <c r="H1379" s="2" t="s">
        <v>26</v>
      </c>
      <c r="I1379" s="2"/>
      <c r="J1379" s="2" t="s">
        <v>19</v>
      </c>
      <c r="K1379" s="2" t="s">
        <v>20</v>
      </c>
      <c r="L1379" s="2" t="s">
        <v>112</v>
      </c>
    </row>
    <row r="1380" customFormat="false" ht="13.35" hidden="false" customHeight="true" outlineLevel="0" collapsed="false">
      <c r="A1380" s="5" t="str">
        <f aca="false">HYPERLINK("https://www.fabsurplus.com/sdi_catalog/salesItemDetails.do?id=93099")</f>
        <v>https://www.fabsurplus.com/sdi_catalog/salesItemDetails.do?id=93099</v>
      </c>
      <c r="B1380" s="5" t="s">
        <v>3797</v>
      </c>
      <c r="C1380" s="5" t="s">
        <v>3607</v>
      </c>
      <c r="D1380" s="5" t="s">
        <v>3798</v>
      </c>
      <c r="E1380" s="5" t="s">
        <v>3791</v>
      </c>
      <c r="F1380" s="5" t="s">
        <v>16</v>
      </c>
      <c r="G1380" s="5" t="s">
        <v>3163</v>
      </c>
      <c r="H1380" s="5"/>
      <c r="I1380" s="5"/>
      <c r="J1380" s="5" t="s">
        <v>19</v>
      </c>
      <c r="K1380" s="5"/>
      <c r="L1380" s="5" t="s">
        <v>112</v>
      </c>
    </row>
    <row r="1381" customFormat="false" ht="13.35" hidden="false" customHeight="true" outlineLevel="0" collapsed="false">
      <c r="A1381" s="5" t="str">
        <f aca="false">HYPERLINK("https://www.fabsurplus.com/sdi_catalog/salesItemDetails.do?id=93100")</f>
        <v>https://www.fabsurplus.com/sdi_catalog/salesItemDetails.do?id=93100</v>
      </c>
      <c r="B1381" s="5" t="s">
        <v>3799</v>
      </c>
      <c r="C1381" s="5" t="s">
        <v>3607</v>
      </c>
      <c r="D1381" s="5" t="s">
        <v>3800</v>
      </c>
      <c r="E1381" s="5" t="s">
        <v>3791</v>
      </c>
      <c r="F1381" s="5" t="s">
        <v>16</v>
      </c>
      <c r="G1381" s="5" t="s">
        <v>3163</v>
      </c>
      <c r="H1381" s="5"/>
      <c r="I1381" s="6" t="n">
        <v>35217</v>
      </c>
      <c r="J1381" s="5" t="s">
        <v>19</v>
      </c>
      <c r="K1381" s="5"/>
      <c r="L1381" s="5" t="s">
        <v>112</v>
      </c>
    </row>
    <row r="1382" customFormat="false" ht="13.35" hidden="false" customHeight="true" outlineLevel="0" collapsed="false">
      <c r="A1382" s="5" t="str">
        <f aca="false">HYPERLINK("https://www.fabsurplus.com/sdi_catalog/salesItemDetails.do?id=93101")</f>
        <v>https://www.fabsurplus.com/sdi_catalog/salesItemDetails.do?id=93101</v>
      </c>
      <c r="B1382" s="5" t="s">
        <v>3801</v>
      </c>
      <c r="C1382" s="5" t="s">
        <v>3607</v>
      </c>
      <c r="D1382" s="5" t="s">
        <v>3802</v>
      </c>
      <c r="E1382" s="5" t="s">
        <v>3791</v>
      </c>
      <c r="F1382" s="5" t="s">
        <v>16</v>
      </c>
      <c r="G1382" s="5" t="s">
        <v>3163</v>
      </c>
      <c r="H1382" s="5"/>
      <c r="I1382" s="5"/>
      <c r="J1382" s="5" t="s">
        <v>19</v>
      </c>
      <c r="K1382" s="5"/>
      <c r="L1382" s="5" t="s">
        <v>112</v>
      </c>
    </row>
    <row r="1383" customFormat="false" ht="13.35" hidden="false" customHeight="true" outlineLevel="0" collapsed="false">
      <c r="A1383" s="5" t="str">
        <f aca="false">HYPERLINK("https://www.fabsurplus.com/sdi_catalog/salesItemDetails.do?id=93102")</f>
        <v>https://www.fabsurplus.com/sdi_catalog/salesItemDetails.do?id=93102</v>
      </c>
      <c r="B1383" s="5" t="s">
        <v>3803</v>
      </c>
      <c r="C1383" s="5" t="s">
        <v>3607</v>
      </c>
      <c r="D1383" s="5" t="s">
        <v>3804</v>
      </c>
      <c r="E1383" s="5" t="s">
        <v>3791</v>
      </c>
      <c r="F1383" s="5" t="s">
        <v>16</v>
      </c>
      <c r="G1383" s="5" t="s">
        <v>3163</v>
      </c>
      <c r="H1383" s="5"/>
      <c r="I1383" s="6" t="n">
        <v>35217</v>
      </c>
      <c r="J1383" s="5" t="s">
        <v>19</v>
      </c>
      <c r="K1383" s="5"/>
      <c r="L1383" s="5" t="s">
        <v>112</v>
      </c>
    </row>
    <row r="1384" customFormat="false" ht="13.35" hidden="false" customHeight="true" outlineLevel="0" collapsed="false">
      <c r="A1384" s="2" t="str">
        <f aca="false">HYPERLINK("https://www.fabsurplus.com/sdi_catalog/salesItemDetails.do?id=91464")</f>
        <v>https://www.fabsurplus.com/sdi_catalog/salesItemDetails.do?id=91464</v>
      </c>
      <c r="B1384" s="2" t="s">
        <v>3805</v>
      </c>
      <c r="C1384" s="2" t="s">
        <v>3607</v>
      </c>
      <c r="D1384" s="2" t="s">
        <v>3806</v>
      </c>
      <c r="E1384" s="2" t="s">
        <v>3405</v>
      </c>
      <c r="F1384" s="2" t="s">
        <v>16</v>
      </c>
      <c r="G1384" s="2"/>
      <c r="H1384" s="2"/>
      <c r="I1384" s="2"/>
      <c r="J1384" s="2" t="s">
        <v>19</v>
      </c>
      <c r="K1384" s="2"/>
      <c r="L1384" s="2" t="s">
        <v>112</v>
      </c>
    </row>
    <row r="1385" customFormat="false" ht="13.35" hidden="false" customHeight="true" outlineLevel="0" collapsed="false">
      <c r="A1385" s="5" t="str">
        <f aca="false">HYPERLINK("https://www.fabsurplus.com/sdi_catalog/salesItemDetails.do?id=91466")</f>
        <v>https://www.fabsurplus.com/sdi_catalog/salesItemDetails.do?id=91466</v>
      </c>
      <c r="B1385" s="5" t="s">
        <v>3807</v>
      </c>
      <c r="C1385" s="5" t="s">
        <v>3607</v>
      </c>
      <c r="D1385" s="5" t="s">
        <v>3806</v>
      </c>
      <c r="E1385" s="5" t="s">
        <v>3405</v>
      </c>
      <c r="F1385" s="5" t="s">
        <v>16</v>
      </c>
      <c r="G1385" s="5"/>
      <c r="H1385" s="5"/>
      <c r="I1385" s="5"/>
      <c r="J1385" s="5" t="s">
        <v>19</v>
      </c>
      <c r="K1385" s="5"/>
      <c r="L1385" s="5" t="s">
        <v>112</v>
      </c>
    </row>
    <row r="1386" customFormat="false" ht="13.35" hidden="false" customHeight="true" outlineLevel="0" collapsed="false">
      <c r="A1386" s="5" t="str">
        <f aca="false">HYPERLINK("https://www.fabsurplus.com/sdi_catalog/salesItemDetails.do?id=91469")</f>
        <v>https://www.fabsurplus.com/sdi_catalog/salesItemDetails.do?id=91469</v>
      </c>
      <c r="B1386" s="5" t="s">
        <v>3808</v>
      </c>
      <c r="C1386" s="5" t="s">
        <v>3607</v>
      </c>
      <c r="D1386" s="5" t="s">
        <v>3809</v>
      </c>
      <c r="E1386" s="5" t="s">
        <v>3810</v>
      </c>
      <c r="F1386" s="5" t="s">
        <v>16</v>
      </c>
      <c r="G1386" s="5" t="s">
        <v>36</v>
      </c>
      <c r="H1386" s="5"/>
      <c r="I1386" s="5"/>
      <c r="J1386" s="5" t="s">
        <v>19</v>
      </c>
      <c r="K1386" s="5"/>
      <c r="L1386" s="5" t="s">
        <v>112</v>
      </c>
    </row>
    <row r="1387" customFormat="false" ht="13.35" hidden="false" customHeight="true" outlineLevel="0" collapsed="false">
      <c r="A1387" s="2" t="str">
        <f aca="false">HYPERLINK("https://www.fabsurplus.com/sdi_catalog/salesItemDetails.do?id=102270")</f>
        <v>https://www.fabsurplus.com/sdi_catalog/salesItemDetails.do?id=102270</v>
      </c>
      <c r="B1387" s="2" t="s">
        <v>3811</v>
      </c>
      <c r="C1387" s="2" t="s">
        <v>3607</v>
      </c>
      <c r="D1387" s="2" t="s">
        <v>3812</v>
      </c>
      <c r="E1387" s="2" t="s">
        <v>3670</v>
      </c>
      <c r="F1387" s="2" t="s">
        <v>16</v>
      </c>
      <c r="G1387" s="2" t="s">
        <v>17</v>
      </c>
      <c r="H1387" s="2"/>
      <c r="I1387" s="3" t="n">
        <v>38504</v>
      </c>
      <c r="J1387" s="2" t="s">
        <v>19</v>
      </c>
      <c r="K1387" s="2"/>
      <c r="L1387" s="2"/>
    </row>
    <row r="1388" customFormat="false" ht="13.35" hidden="false" customHeight="true" outlineLevel="0" collapsed="false">
      <c r="A1388" s="5" t="str">
        <f aca="false">HYPERLINK("https://www.fabsurplus.com/sdi_catalog/salesItemDetails.do?id=100918")</f>
        <v>https://www.fabsurplus.com/sdi_catalog/salesItemDetails.do?id=100918</v>
      </c>
      <c r="B1388" s="5" t="s">
        <v>3813</v>
      </c>
      <c r="C1388" s="5" t="s">
        <v>3607</v>
      </c>
      <c r="D1388" s="5" t="s">
        <v>3814</v>
      </c>
      <c r="E1388" s="5" t="s">
        <v>3815</v>
      </c>
      <c r="F1388" s="5" t="s">
        <v>16</v>
      </c>
      <c r="G1388" s="5" t="s">
        <v>17</v>
      </c>
      <c r="H1388" s="5"/>
      <c r="I1388" s="6" t="n">
        <v>39600</v>
      </c>
      <c r="J1388" s="5" t="s">
        <v>19</v>
      </c>
      <c r="K1388" s="5"/>
      <c r="L1388" s="5" t="s">
        <v>618</v>
      </c>
    </row>
    <row r="1389" customFormat="false" ht="13.35" hidden="false" customHeight="true" outlineLevel="0" collapsed="false">
      <c r="A1389" s="2" t="str">
        <f aca="false">HYPERLINK("https://www.fabsurplus.com/sdi_catalog/salesItemDetails.do?id=94472")</f>
        <v>https://www.fabsurplus.com/sdi_catalog/salesItemDetails.do?id=94472</v>
      </c>
      <c r="B1389" s="2" t="s">
        <v>3816</v>
      </c>
      <c r="C1389" s="2" t="s">
        <v>3607</v>
      </c>
      <c r="D1389" s="2" t="s">
        <v>3817</v>
      </c>
      <c r="E1389" s="2" t="s">
        <v>3818</v>
      </c>
      <c r="F1389" s="2" t="s">
        <v>16</v>
      </c>
      <c r="G1389" s="2" t="s">
        <v>17</v>
      </c>
      <c r="H1389" s="2" t="s">
        <v>26</v>
      </c>
      <c r="I1389" s="3" t="n">
        <v>38869</v>
      </c>
      <c r="J1389" s="2" t="s">
        <v>19</v>
      </c>
      <c r="K1389" s="2" t="s">
        <v>20</v>
      </c>
      <c r="L1389" s="4" t="s">
        <v>3819</v>
      </c>
    </row>
    <row r="1390" customFormat="false" ht="13.35" hidden="false" customHeight="true" outlineLevel="0" collapsed="false">
      <c r="A1390" s="2" t="str">
        <f aca="false">HYPERLINK("https://www.fabsurplus.com/sdi_catalog/salesItemDetails.do?id=98403")</f>
        <v>https://www.fabsurplus.com/sdi_catalog/salesItemDetails.do?id=98403</v>
      </c>
      <c r="B1390" s="2" t="s">
        <v>3820</v>
      </c>
      <c r="C1390" s="2" t="s">
        <v>3607</v>
      </c>
      <c r="D1390" s="2" t="s">
        <v>3821</v>
      </c>
      <c r="E1390" s="2" t="s">
        <v>3659</v>
      </c>
      <c r="F1390" s="2" t="s">
        <v>16</v>
      </c>
      <c r="G1390" s="2" t="s">
        <v>493</v>
      </c>
      <c r="H1390" s="2"/>
      <c r="I1390" s="2"/>
      <c r="J1390" s="2" t="s">
        <v>19</v>
      </c>
      <c r="K1390" s="2"/>
      <c r="L1390" s="2" t="s">
        <v>893</v>
      </c>
    </row>
    <row r="1391" customFormat="false" ht="13.35" hidden="false" customHeight="true" outlineLevel="0" collapsed="false">
      <c r="A1391" s="2" t="str">
        <f aca="false">HYPERLINK("https://www.fabsurplus.com/sdi_catalog/salesItemDetails.do?id=101614")</f>
        <v>https://www.fabsurplus.com/sdi_catalog/salesItemDetails.do?id=101614</v>
      </c>
      <c r="B1391" s="2" t="s">
        <v>3822</v>
      </c>
      <c r="C1391" s="2" t="s">
        <v>3607</v>
      </c>
      <c r="D1391" s="2" t="s">
        <v>3823</v>
      </c>
      <c r="E1391" s="2" t="s">
        <v>3674</v>
      </c>
      <c r="F1391" s="2" t="s">
        <v>16</v>
      </c>
      <c r="G1391" s="2" t="s">
        <v>3824</v>
      </c>
      <c r="H1391" s="2" t="s">
        <v>18</v>
      </c>
      <c r="I1391" s="3" t="n">
        <v>38657</v>
      </c>
      <c r="J1391" s="2" t="s">
        <v>47</v>
      </c>
      <c r="K1391" s="2" t="s">
        <v>20</v>
      </c>
      <c r="L1391" s="2" t="s">
        <v>177</v>
      </c>
    </row>
    <row r="1392" customFormat="false" ht="13.35" hidden="false" customHeight="true" outlineLevel="0" collapsed="false">
      <c r="A1392" s="2" t="str">
        <f aca="false">HYPERLINK("https://www.fabsurplus.com/sdi_catalog/salesItemDetails.do?id=102272")</f>
        <v>https://www.fabsurplus.com/sdi_catalog/salesItemDetails.do?id=102272</v>
      </c>
      <c r="B1392" s="2" t="s">
        <v>3825</v>
      </c>
      <c r="C1392" s="2" t="s">
        <v>3607</v>
      </c>
      <c r="D1392" s="2" t="s">
        <v>3826</v>
      </c>
      <c r="E1392" s="2" t="s">
        <v>3827</v>
      </c>
      <c r="F1392" s="2" t="s">
        <v>16</v>
      </c>
      <c r="G1392" s="2"/>
      <c r="H1392" s="2"/>
      <c r="I1392" s="3" t="n">
        <v>37773</v>
      </c>
      <c r="J1392" s="2" t="s">
        <v>19</v>
      </c>
      <c r="K1392" s="2"/>
      <c r="L1392" s="2"/>
    </row>
    <row r="1393" customFormat="false" ht="13.35" hidden="false" customHeight="true" outlineLevel="0" collapsed="false">
      <c r="A1393" s="5" t="str">
        <f aca="false">HYPERLINK("https://www.fabsurplus.com/sdi_catalog/salesItemDetails.do?id=94473")</f>
        <v>https://www.fabsurplus.com/sdi_catalog/salesItemDetails.do?id=94473</v>
      </c>
      <c r="B1393" s="5" t="s">
        <v>3828</v>
      </c>
      <c r="C1393" s="5" t="s">
        <v>3607</v>
      </c>
      <c r="D1393" s="5" t="s">
        <v>3829</v>
      </c>
      <c r="E1393" s="5" t="s">
        <v>3830</v>
      </c>
      <c r="F1393" s="5" t="s">
        <v>16</v>
      </c>
      <c r="G1393" s="5" t="s">
        <v>36</v>
      </c>
      <c r="H1393" s="5" t="s">
        <v>26</v>
      </c>
      <c r="I1393" s="6" t="n">
        <v>39114</v>
      </c>
      <c r="J1393" s="5" t="s">
        <v>19</v>
      </c>
      <c r="K1393" s="5" t="s">
        <v>20</v>
      </c>
      <c r="L1393" s="7" t="s">
        <v>3831</v>
      </c>
    </row>
    <row r="1394" customFormat="false" ht="13.35" hidden="false" customHeight="true" outlineLevel="0" collapsed="false">
      <c r="A1394" s="2" t="str">
        <f aca="false">HYPERLINK("https://www.fabsurplus.com/sdi_catalog/salesItemDetails.do?id=93910")</f>
        <v>https://www.fabsurplus.com/sdi_catalog/salesItemDetails.do?id=93910</v>
      </c>
      <c r="B1394" s="2" t="s">
        <v>3832</v>
      </c>
      <c r="C1394" s="2" t="s">
        <v>3607</v>
      </c>
      <c r="D1394" s="2" t="s">
        <v>3833</v>
      </c>
      <c r="E1394" s="2" t="s">
        <v>3834</v>
      </c>
      <c r="F1394" s="2" t="s">
        <v>16</v>
      </c>
      <c r="G1394" s="2" t="s">
        <v>17</v>
      </c>
      <c r="H1394" s="2" t="s">
        <v>18</v>
      </c>
      <c r="I1394" s="3" t="n">
        <v>40695</v>
      </c>
      <c r="J1394" s="2" t="s">
        <v>19</v>
      </c>
      <c r="K1394" s="2" t="s">
        <v>20</v>
      </c>
      <c r="L1394" s="4" t="s">
        <v>3835</v>
      </c>
    </row>
    <row r="1395" customFormat="false" ht="13.35" hidden="false" customHeight="true" outlineLevel="0" collapsed="false">
      <c r="A1395" s="5" t="str">
        <f aca="false">HYPERLINK("https://www.fabsurplus.com/sdi_catalog/salesItemDetails.do?id=102273")</f>
        <v>https://www.fabsurplus.com/sdi_catalog/salesItemDetails.do?id=102273</v>
      </c>
      <c r="B1395" s="5" t="s">
        <v>3836</v>
      </c>
      <c r="C1395" s="5" t="s">
        <v>3607</v>
      </c>
      <c r="D1395" s="5" t="s">
        <v>3837</v>
      </c>
      <c r="E1395" s="5" t="s">
        <v>3838</v>
      </c>
      <c r="F1395" s="5" t="s">
        <v>16</v>
      </c>
      <c r="G1395" s="5" t="s">
        <v>1686</v>
      </c>
      <c r="H1395" s="5"/>
      <c r="I1395" s="5"/>
      <c r="J1395" s="5" t="s">
        <v>19</v>
      </c>
      <c r="K1395" s="5"/>
      <c r="L1395" s="5"/>
    </row>
    <row r="1396" customFormat="false" ht="13.35" hidden="false" customHeight="true" outlineLevel="0" collapsed="false">
      <c r="A1396" s="2" t="str">
        <f aca="false">HYPERLINK("https://www.fabsurplus.com/sdi_catalog/salesItemDetails.do?id=98858")</f>
        <v>https://www.fabsurplus.com/sdi_catalog/salesItemDetails.do?id=98858</v>
      </c>
      <c r="B1396" s="2" t="s">
        <v>3839</v>
      </c>
      <c r="C1396" s="2" t="s">
        <v>3607</v>
      </c>
      <c r="D1396" s="2" t="s">
        <v>3840</v>
      </c>
      <c r="E1396" s="2" t="s">
        <v>3841</v>
      </c>
      <c r="F1396" s="2" t="s">
        <v>16</v>
      </c>
      <c r="G1396" s="2"/>
      <c r="H1396" s="2" t="s">
        <v>26</v>
      </c>
      <c r="I1396" s="2"/>
      <c r="J1396" s="2" t="s">
        <v>19</v>
      </c>
      <c r="K1396" s="2"/>
      <c r="L1396" s="4" t="s">
        <v>3842</v>
      </c>
    </row>
    <row r="1397" customFormat="false" ht="13.35" hidden="false" customHeight="true" outlineLevel="0" collapsed="false">
      <c r="A1397" s="2" t="str">
        <f aca="false">HYPERLINK("https://www.fabsurplus.com/sdi_catalog/salesItemDetails.do?id=96998")</f>
        <v>https://www.fabsurplus.com/sdi_catalog/salesItemDetails.do?id=96998</v>
      </c>
      <c r="B1397" s="2" t="s">
        <v>3843</v>
      </c>
      <c r="C1397" s="2" t="s">
        <v>3607</v>
      </c>
      <c r="D1397" s="2" t="s">
        <v>3844</v>
      </c>
      <c r="E1397" s="2" t="s">
        <v>3656</v>
      </c>
      <c r="F1397" s="2" t="s">
        <v>16</v>
      </c>
      <c r="G1397" s="2" t="s">
        <v>36</v>
      </c>
      <c r="H1397" s="2" t="s">
        <v>26</v>
      </c>
      <c r="I1397" s="3" t="n">
        <v>35582</v>
      </c>
      <c r="J1397" s="2" t="s">
        <v>19</v>
      </c>
      <c r="K1397" s="2" t="s">
        <v>20</v>
      </c>
      <c r="L1397" s="2" t="s">
        <v>3845</v>
      </c>
    </row>
    <row r="1398" customFormat="false" ht="13.35" hidden="false" customHeight="true" outlineLevel="0" collapsed="false">
      <c r="A1398" s="2" t="str">
        <f aca="false">HYPERLINK("https://www.fabsurplus.com/sdi_catalog/salesItemDetails.do?id=102711")</f>
        <v>https://www.fabsurplus.com/sdi_catalog/salesItemDetails.do?id=102711</v>
      </c>
      <c r="B1398" s="2" t="s">
        <v>3846</v>
      </c>
      <c r="C1398" s="2" t="s">
        <v>3607</v>
      </c>
      <c r="D1398" s="2" t="s">
        <v>3847</v>
      </c>
      <c r="E1398" s="2" t="s">
        <v>3848</v>
      </c>
      <c r="F1398" s="2" t="s">
        <v>16</v>
      </c>
      <c r="G1398" s="2" t="s">
        <v>17</v>
      </c>
      <c r="H1398" s="2"/>
      <c r="I1398" s="2"/>
      <c r="J1398" s="2" t="s">
        <v>19</v>
      </c>
      <c r="K1398" s="2"/>
      <c r="L1398" s="2"/>
    </row>
    <row r="1399" customFormat="false" ht="13.35" hidden="false" customHeight="true" outlineLevel="0" collapsed="false">
      <c r="A1399" s="5" t="str">
        <f aca="false">HYPERLINK("https://www.fabsurplus.com/sdi_catalog/salesItemDetails.do?id=102712")</f>
        <v>https://www.fabsurplus.com/sdi_catalog/salesItemDetails.do?id=102712</v>
      </c>
      <c r="B1399" s="5" t="s">
        <v>3849</v>
      </c>
      <c r="C1399" s="5" t="s">
        <v>3607</v>
      </c>
      <c r="D1399" s="5" t="s">
        <v>3847</v>
      </c>
      <c r="E1399" s="5" t="s">
        <v>3848</v>
      </c>
      <c r="F1399" s="5" t="s">
        <v>16</v>
      </c>
      <c r="G1399" s="5" t="s">
        <v>17</v>
      </c>
      <c r="H1399" s="5"/>
      <c r="I1399" s="5"/>
      <c r="J1399" s="5" t="s">
        <v>19</v>
      </c>
      <c r="K1399" s="5"/>
      <c r="L1399" s="5"/>
    </row>
    <row r="1400" customFormat="false" ht="13.35" hidden="false" customHeight="true" outlineLevel="0" collapsed="false">
      <c r="A1400" s="2" t="str">
        <f aca="false">HYPERLINK("https://www.fabsurplus.com/sdi_catalog/salesItemDetails.do?id=102714")</f>
        <v>https://www.fabsurplus.com/sdi_catalog/salesItemDetails.do?id=102714</v>
      </c>
      <c r="B1400" s="2" t="s">
        <v>3850</v>
      </c>
      <c r="C1400" s="2" t="s">
        <v>3607</v>
      </c>
      <c r="D1400" s="2" t="s">
        <v>3847</v>
      </c>
      <c r="E1400" s="2" t="s">
        <v>3848</v>
      </c>
      <c r="F1400" s="2" t="s">
        <v>16</v>
      </c>
      <c r="G1400" s="2" t="s">
        <v>17</v>
      </c>
      <c r="H1400" s="2"/>
      <c r="I1400" s="2"/>
      <c r="J1400" s="2" t="s">
        <v>19</v>
      </c>
      <c r="K1400" s="2"/>
      <c r="L1400" s="4" t="s">
        <v>3851</v>
      </c>
    </row>
    <row r="1401" customFormat="false" ht="13.35" hidden="false" customHeight="true" outlineLevel="0" collapsed="false">
      <c r="A1401" s="5" t="str">
        <f aca="false">HYPERLINK("https://www.fabsurplus.com/sdi_catalog/salesItemDetails.do?id=102715")</f>
        <v>https://www.fabsurplus.com/sdi_catalog/salesItemDetails.do?id=102715</v>
      </c>
      <c r="B1401" s="5" t="s">
        <v>3852</v>
      </c>
      <c r="C1401" s="5" t="s">
        <v>3607</v>
      </c>
      <c r="D1401" s="5" t="s">
        <v>3847</v>
      </c>
      <c r="E1401" s="5" t="s">
        <v>3848</v>
      </c>
      <c r="F1401" s="5" t="s">
        <v>16</v>
      </c>
      <c r="G1401" s="5" t="s">
        <v>17</v>
      </c>
      <c r="H1401" s="5"/>
      <c r="I1401" s="5"/>
      <c r="J1401" s="5" t="s">
        <v>19</v>
      </c>
      <c r="K1401" s="5"/>
      <c r="L1401" s="7" t="s">
        <v>3853</v>
      </c>
    </row>
    <row r="1402" customFormat="false" ht="13.35" hidden="false" customHeight="true" outlineLevel="0" collapsed="false">
      <c r="A1402" s="5" t="str">
        <f aca="false">HYPERLINK("https://www.fabsurplus.com/sdi_catalog/salesItemDetails.do?id=102716")</f>
        <v>https://www.fabsurplus.com/sdi_catalog/salesItemDetails.do?id=102716</v>
      </c>
      <c r="B1402" s="5" t="s">
        <v>3854</v>
      </c>
      <c r="C1402" s="5" t="s">
        <v>3607</v>
      </c>
      <c r="D1402" s="5" t="s">
        <v>3847</v>
      </c>
      <c r="E1402" s="5" t="s">
        <v>3848</v>
      </c>
      <c r="F1402" s="5" t="s">
        <v>16</v>
      </c>
      <c r="G1402" s="5" t="s">
        <v>17</v>
      </c>
      <c r="H1402" s="5"/>
      <c r="I1402" s="6" t="n">
        <v>39234</v>
      </c>
      <c r="J1402" s="5" t="s">
        <v>19</v>
      </c>
      <c r="K1402" s="5"/>
      <c r="L1402" s="7" t="s">
        <v>3855</v>
      </c>
    </row>
    <row r="1403" customFormat="false" ht="13.35" hidden="false" customHeight="true" outlineLevel="0" collapsed="false">
      <c r="A1403" s="5" t="str">
        <f aca="false">HYPERLINK("https://www.fabsurplus.com/sdi_catalog/salesItemDetails.do?id=103099")</f>
        <v>https://www.fabsurplus.com/sdi_catalog/salesItemDetails.do?id=103099</v>
      </c>
      <c r="B1403" s="5" t="s">
        <v>3856</v>
      </c>
      <c r="C1403" s="5" t="s">
        <v>3607</v>
      </c>
      <c r="D1403" s="5" t="s">
        <v>3857</v>
      </c>
      <c r="E1403" s="5" t="s">
        <v>3858</v>
      </c>
      <c r="F1403" s="5" t="s">
        <v>16</v>
      </c>
      <c r="G1403" s="5" t="s">
        <v>658</v>
      </c>
      <c r="H1403" s="5"/>
      <c r="I1403" s="6" t="n">
        <v>41791</v>
      </c>
      <c r="J1403" s="5" t="s">
        <v>19</v>
      </c>
      <c r="K1403" s="5"/>
      <c r="L1403" s="7" t="s">
        <v>3859</v>
      </c>
    </row>
    <row r="1404" customFormat="false" ht="13.35" hidden="false" customHeight="true" outlineLevel="0" collapsed="false">
      <c r="A1404" s="2" t="str">
        <f aca="false">HYPERLINK("https://www.fabsurplus.com/sdi_catalog/salesItemDetails.do?id=102497")</f>
        <v>https://www.fabsurplus.com/sdi_catalog/salesItemDetails.do?id=102497</v>
      </c>
      <c r="B1404" s="2" t="s">
        <v>3860</v>
      </c>
      <c r="C1404" s="2" t="s">
        <v>3607</v>
      </c>
      <c r="D1404" s="2" t="s">
        <v>3861</v>
      </c>
      <c r="E1404" s="2" t="s">
        <v>3287</v>
      </c>
      <c r="F1404" s="2" t="s">
        <v>16</v>
      </c>
      <c r="G1404" s="2"/>
      <c r="H1404" s="2" t="s">
        <v>18</v>
      </c>
      <c r="I1404" s="3" t="n">
        <v>42217</v>
      </c>
      <c r="J1404" s="2" t="s">
        <v>19</v>
      </c>
      <c r="K1404" s="2"/>
      <c r="L1404" s="2" t="s">
        <v>177</v>
      </c>
    </row>
    <row r="1405" customFormat="false" ht="13.35" hidden="false" customHeight="true" outlineLevel="0" collapsed="false">
      <c r="A1405" s="2" t="str">
        <f aca="false">HYPERLINK("https://www.fabsurplus.com/sdi_catalog/salesItemDetails.do?id=103100")</f>
        <v>https://www.fabsurplus.com/sdi_catalog/salesItemDetails.do?id=103100</v>
      </c>
      <c r="B1405" s="2" t="s">
        <v>3862</v>
      </c>
      <c r="C1405" s="2" t="s">
        <v>3607</v>
      </c>
      <c r="D1405" s="2" t="s">
        <v>3863</v>
      </c>
      <c r="E1405" s="2" t="s">
        <v>3864</v>
      </c>
      <c r="F1405" s="2" t="s">
        <v>16</v>
      </c>
      <c r="G1405" s="2" t="s">
        <v>658</v>
      </c>
      <c r="H1405" s="2"/>
      <c r="I1405" s="3" t="n">
        <v>39234</v>
      </c>
      <c r="J1405" s="2" t="s">
        <v>19</v>
      </c>
      <c r="K1405" s="2"/>
      <c r="L1405" s="4" t="s">
        <v>3865</v>
      </c>
    </row>
    <row r="1406" customFormat="false" ht="13.35" hidden="false" customHeight="true" outlineLevel="0" collapsed="false">
      <c r="A1406" s="5" t="str">
        <f aca="false">HYPERLINK("https://www.fabsurplus.com/sdi_catalog/salesItemDetails.do?id=91474")</f>
        <v>https://www.fabsurplus.com/sdi_catalog/salesItemDetails.do?id=91474</v>
      </c>
      <c r="B1406" s="5" t="s">
        <v>3866</v>
      </c>
      <c r="C1406" s="5" t="s">
        <v>3607</v>
      </c>
      <c r="D1406" s="5" t="s">
        <v>3867</v>
      </c>
      <c r="E1406" s="5" t="s">
        <v>3868</v>
      </c>
      <c r="F1406" s="5" t="s">
        <v>16</v>
      </c>
      <c r="G1406" s="5" t="s">
        <v>36</v>
      </c>
      <c r="H1406" s="5" t="s">
        <v>26</v>
      </c>
      <c r="I1406" s="5"/>
      <c r="J1406" s="5" t="s">
        <v>19</v>
      </c>
      <c r="K1406" s="5"/>
      <c r="L1406" s="5" t="s">
        <v>112</v>
      </c>
    </row>
    <row r="1407" customFormat="false" ht="13.35" hidden="false" customHeight="true" outlineLevel="0" collapsed="false">
      <c r="A1407" s="5" t="str">
        <f aca="false">HYPERLINK("https://www.fabsurplus.com/sdi_catalog/salesItemDetails.do?id=91475")</f>
        <v>https://www.fabsurplus.com/sdi_catalog/salesItemDetails.do?id=91475</v>
      </c>
      <c r="B1407" s="5" t="s">
        <v>3869</v>
      </c>
      <c r="C1407" s="5" t="s">
        <v>3607</v>
      </c>
      <c r="D1407" s="5" t="s">
        <v>3867</v>
      </c>
      <c r="E1407" s="5" t="s">
        <v>3868</v>
      </c>
      <c r="F1407" s="5" t="s">
        <v>16</v>
      </c>
      <c r="G1407" s="5" t="s">
        <v>36</v>
      </c>
      <c r="H1407" s="5" t="s">
        <v>26</v>
      </c>
      <c r="I1407" s="5"/>
      <c r="J1407" s="5" t="s">
        <v>19</v>
      </c>
      <c r="K1407" s="5" t="s">
        <v>20</v>
      </c>
      <c r="L1407" s="5" t="s">
        <v>112</v>
      </c>
    </row>
    <row r="1408" customFormat="false" ht="13.35" hidden="false" customHeight="true" outlineLevel="0" collapsed="false">
      <c r="A1408" s="5" t="str">
        <f aca="false">HYPERLINK("https://www.fabsurplus.com/sdi_catalog/salesItemDetails.do?id=91476")</f>
        <v>https://www.fabsurplus.com/sdi_catalog/salesItemDetails.do?id=91476</v>
      </c>
      <c r="B1408" s="5" t="s">
        <v>3870</v>
      </c>
      <c r="C1408" s="5" t="s">
        <v>3607</v>
      </c>
      <c r="D1408" s="5" t="s">
        <v>3871</v>
      </c>
      <c r="E1408" s="5" t="s">
        <v>3868</v>
      </c>
      <c r="F1408" s="5" t="s">
        <v>16</v>
      </c>
      <c r="G1408" s="5" t="s">
        <v>36</v>
      </c>
      <c r="H1408" s="5" t="s">
        <v>26</v>
      </c>
      <c r="I1408" s="6" t="n">
        <v>34851</v>
      </c>
      <c r="J1408" s="5" t="s">
        <v>19</v>
      </c>
      <c r="K1408" s="5" t="s">
        <v>20</v>
      </c>
      <c r="L1408" s="5" t="s">
        <v>112</v>
      </c>
    </row>
    <row r="1409" customFormat="false" ht="13.35" hidden="false" customHeight="true" outlineLevel="0" collapsed="false">
      <c r="A1409" s="5" t="str">
        <f aca="false">HYPERLINK("https://www.fabsurplus.com/sdi_catalog/salesItemDetails.do?id=91477")</f>
        <v>https://www.fabsurplus.com/sdi_catalog/salesItemDetails.do?id=91477</v>
      </c>
      <c r="B1409" s="5" t="s">
        <v>3872</v>
      </c>
      <c r="C1409" s="5" t="s">
        <v>3607</v>
      </c>
      <c r="D1409" s="5" t="s">
        <v>3871</v>
      </c>
      <c r="E1409" s="5" t="s">
        <v>3868</v>
      </c>
      <c r="F1409" s="5" t="s">
        <v>16</v>
      </c>
      <c r="G1409" s="5" t="s">
        <v>36</v>
      </c>
      <c r="H1409" s="5" t="s">
        <v>26</v>
      </c>
      <c r="I1409" s="5"/>
      <c r="J1409" s="5" t="s">
        <v>19</v>
      </c>
      <c r="K1409" s="5" t="s">
        <v>20</v>
      </c>
      <c r="L1409" s="5" t="s">
        <v>112</v>
      </c>
    </row>
    <row r="1410" customFormat="false" ht="13.35" hidden="false" customHeight="true" outlineLevel="0" collapsed="false">
      <c r="A1410" s="5" t="str">
        <f aca="false">HYPERLINK("https://www.fabsurplus.com/sdi_catalog/salesItemDetails.do?id=91478")</f>
        <v>https://www.fabsurplus.com/sdi_catalog/salesItemDetails.do?id=91478</v>
      </c>
      <c r="B1410" s="5" t="s">
        <v>3873</v>
      </c>
      <c r="C1410" s="5" t="s">
        <v>3607</v>
      </c>
      <c r="D1410" s="5" t="s">
        <v>3874</v>
      </c>
      <c r="E1410" s="5" t="s">
        <v>3868</v>
      </c>
      <c r="F1410" s="5" t="s">
        <v>16</v>
      </c>
      <c r="G1410" s="5" t="s">
        <v>36</v>
      </c>
      <c r="H1410" s="5" t="s">
        <v>18</v>
      </c>
      <c r="I1410" s="6" t="n">
        <v>35643</v>
      </c>
      <c r="J1410" s="5" t="s">
        <v>19</v>
      </c>
      <c r="K1410" s="5" t="s">
        <v>20</v>
      </c>
      <c r="L1410" s="5" t="s">
        <v>112</v>
      </c>
    </row>
    <row r="1411" customFormat="false" ht="13.35" hidden="false" customHeight="true" outlineLevel="0" collapsed="false">
      <c r="A1411" s="5" t="str">
        <f aca="false">HYPERLINK("https://www.fabsurplus.com/sdi_catalog/salesItemDetails.do?id=91479")</f>
        <v>https://www.fabsurplus.com/sdi_catalog/salesItemDetails.do?id=91479</v>
      </c>
      <c r="B1411" s="5" t="s">
        <v>3875</v>
      </c>
      <c r="C1411" s="5" t="s">
        <v>3607</v>
      </c>
      <c r="D1411" s="5" t="s">
        <v>3876</v>
      </c>
      <c r="E1411" s="5" t="s">
        <v>3868</v>
      </c>
      <c r="F1411" s="5" t="s">
        <v>16</v>
      </c>
      <c r="G1411" s="5" t="s">
        <v>36</v>
      </c>
      <c r="H1411" s="5" t="s">
        <v>26</v>
      </c>
      <c r="I1411" s="6" t="n">
        <v>35582</v>
      </c>
      <c r="J1411" s="5" t="s">
        <v>19</v>
      </c>
      <c r="K1411" s="5" t="s">
        <v>20</v>
      </c>
      <c r="L1411" s="5" t="s">
        <v>112</v>
      </c>
    </row>
    <row r="1412" customFormat="false" ht="13.35" hidden="false" customHeight="true" outlineLevel="0" collapsed="false">
      <c r="A1412" s="2" t="str">
        <f aca="false">HYPERLINK("https://www.fabsurplus.com/sdi_catalog/salesItemDetails.do?id=91480")</f>
        <v>https://www.fabsurplus.com/sdi_catalog/salesItemDetails.do?id=91480</v>
      </c>
      <c r="B1412" s="2" t="s">
        <v>3877</v>
      </c>
      <c r="C1412" s="2" t="s">
        <v>3607</v>
      </c>
      <c r="D1412" s="2" t="s">
        <v>3876</v>
      </c>
      <c r="E1412" s="2" t="s">
        <v>3868</v>
      </c>
      <c r="F1412" s="2" t="s">
        <v>16</v>
      </c>
      <c r="G1412" s="2" t="s">
        <v>36</v>
      </c>
      <c r="H1412" s="2" t="s">
        <v>26</v>
      </c>
      <c r="I1412" s="2"/>
      <c r="J1412" s="2" t="s">
        <v>19</v>
      </c>
      <c r="K1412" s="2" t="s">
        <v>20</v>
      </c>
      <c r="L1412" s="2" t="s">
        <v>112</v>
      </c>
    </row>
    <row r="1413" customFormat="false" ht="13.35" hidden="false" customHeight="true" outlineLevel="0" collapsed="false">
      <c r="A1413" s="2" t="str">
        <f aca="false">HYPERLINK("https://www.fabsurplus.com/sdi_catalog/salesItemDetails.do?id=91481")</f>
        <v>https://www.fabsurplus.com/sdi_catalog/salesItemDetails.do?id=91481</v>
      </c>
      <c r="B1413" s="2" t="s">
        <v>3878</v>
      </c>
      <c r="C1413" s="2" t="s">
        <v>3607</v>
      </c>
      <c r="D1413" s="2" t="s">
        <v>3876</v>
      </c>
      <c r="E1413" s="2" t="s">
        <v>3868</v>
      </c>
      <c r="F1413" s="2" t="s">
        <v>16</v>
      </c>
      <c r="G1413" s="2" t="s">
        <v>36</v>
      </c>
      <c r="H1413" s="2" t="s">
        <v>26</v>
      </c>
      <c r="I1413" s="3" t="n">
        <v>35582</v>
      </c>
      <c r="J1413" s="2" t="s">
        <v>19</v>
      </c>
      <c r="K1413" s="2" t="s">
        <v>20</v>
      </c>
      <c r="L1413" s="2" t="s">
        <v>112</v>
      </c>
    </row>
    <row r="1414" customFormat="false" ht="13.35" hidden="false" customHeight="true" outlineLevel="0" collapsed="false">
      <c r="A1414" s="5" t="str">
        <f aca="false">HYPERLINK("https://www.fabsurplus.com/sdi_catalog/salesItemDetails.do?id=91482")</f>
        <v>https://www.fabsurplus.com/sdi_catalog/salesItemDetails.do?id=91482</v>
      </c>
      <c r="B1414" s="5" t="s">
        <v>3879</v>
      </c>
      <c r="C1414" s="5" t="s">
        <v>3607</v>
      </c>
      <c r="D1414" s="5" t="s">
        <v>3876</v>
      </c>
      <c r="E1414" s="5" t="s">
        <v>3868</v>
      </c>
      <c r="F1414" s="5" t="s">
        <v>16</v>
      </c>
      <c r="G1414" s="5" t="s">
        <v>36</v>
      </c>
      <c r="H1414" s="5" t="s">
        <v>26</v>
      </c>
      <c r="I1414" s="6" t="n">
        <v>35582</v>
      </c>
      <c r="J1414" s="5" t="s">
        <v>19</v>
      </c>
      <c r="K1414" s="5" t="s">
        <v>20</v>
      </c>
      <c r="L1414" s="5" t="s">
        <v>112</v>
      </c>
    </row>
    <row r="1415" customFormat="false" ht="13.35" hidden="false" customHeight="true" outlineLevel="0" collapsed="false">
      <c r="A1415" s="5" t="str">
        <f aca="false">HYPERLINK("https://www.fabsurplus.com/sdi_catalog/salesItemDetails.do?id=91483")</f>
        <v>https://www.fabsurplus.com/sdi_catalog/salesItemDetails.do?id=91483</v>
      </c>
      <c r="B1415" s="5" t="s">
        <v>3880</v>
      </c>
      <c r="C1415" s="5" t="s">
        <v>3607</v>
      </c>
      <c r="D1415" s="5" t="s">
        <v>3876</v>
      </c>
      <c r="E1415" s="5" t="s">
        <v>3868</v>
      </c>
      <c r="F1415" s="5" t="s">
        <v>16</v>
      </c>
      <c r="G1415" s="5" t="s">
        <v>36</v>
      </c>
      <c r="H1415" s="5" t="s">
        <v>26</v>
      </c>
      <c r="I1415" s="6" t="n">
        <v>36312</v>
      </c>
      <c r="J1415" s="5" t="s">
        <v>19</v>
      </c>
      <c r="K1415" s="5" t="s">
        <v>20</v>
      </c>
      <c r="L1415" s="5" t="s">
        <v>112</v>
      </c>
    </row>
    <row r="1416" customFormat="false" ht="13.35" hidden="false" customHeight="true" outlineLevel="0" collapsed="false">
      <c r="A1416" s="5" t="str">
        <f aca="false">HYPERLINK("https://www.fabsurplus.com/sdi_catalog/salesItemDetails.do?id=91484")</f>
        <v>https://www.fabsurplus.com/sdi_catalog/salesItemDetails.do?id=91484</v>
      </c>
      <c r="B1416" s="5" t="s">
        <v>3881</v>
      </c>
      <c r="C1416" s="5" t="s">
        <v>3607</v>
      </c>
      <c r="D1416" s="5" t="s">
        <v>3876</v>
      </c>
      <c r="E1416" s="5" t="s">
        <v>3868</v>
      </c>
      <c r="F1416" s="5" t="s">
        <v>16</v>
      </c>
      <c r="G1416" s="5" t="s">
        <v>36</v>
      </c>
      <c r="H1416" s="5" t="s">
        <v>26</v>
      </c>
      <c r="I1416" s="6" t="n">
        <v>35582</v>
      </c>
      <c r="J1416" s="5" t="s">
        <v>19</v>
      </c>
      <c r="K1416" s="5" t="s">
        <v>20</v>
      </c>
      <c r="L1416" s="5" t="s">
        <v>112</v>
      </c>
    </row>
    <row r="1417" customFormat="false" ht="13.35" hidden="false" customHeight="true" outlineLevel="0" collapsed="false">
      <c r="A1417" s="5" t="str">
        <f aca="false">HYPERLINK("https://www.fabsurplus.com/sdi_catalog/salesItemDetails.do?id=101557")</f>
        <v>https://www.fabsurplus.com/sdi_catalog/salesItemDetails.do?id=101557</v>
      </c>
      <c r="B1417" s="5" t="s">
        <v>3882</v>
      </c>
      <c r="C1417" s="5" t="s">
        <v>3607</v>
      </c>
      <c r="D1417" s="5" t="s">
        <v>3883</v>
      </c>
      <c r="E1417" s="5" t="s">
        <v>3884</v>
      </c>
      <c r="F1417" s="5" t="s">
        <v>16</v>
      </c>
      <c r="G1417" s="5"/>
      <c r="H1417" s="5" t="s">
        <v>26</v>
      </c>
      <c r="I1417" s="6" t="n">
        <v>38169</v>
      </c>
      <c r="J1417" s="5" t="s">
        <v>47</v>
      </c>
      <c r="K1417" s="5" t="s">
        <v>20</v>
      </c>
      <c r="L1417" s="5"/>
    </row>
    <row r="1418" customFormat="false" ht="13.35" hidden="false" customHeight="true" outlineLevel="0" collapsed="false">
      <c r="A1418" s="2" t="str">
        <f aca="false">HYPERLINK("https://www.fabsurplus.com/sdi_catalog/salesItemDetails.do?id=98404")</f>
        <v>https://www.fabsurplus.com/sdi_catalog/salesItemDetails.do?id=98404</v>
      </c>
      <c r="B1418" s="2" t="s">
        <v>3885</v>
      </c>
      <c r="C1418" s="2" t="s">
        <v>3607</v>
      </c>
      <c r="D1418" s="2" t="s">
        <v>3886</v>
      </c>
      <c r="E1418" s="2" t="s">
        <v>3887</v>
      </c>
      <c r="F1418" s="2" t="s">
        <v>16</v>
      </c>
      <c r="G1418" s="2" t="s">
        <v>493</v>
      </c>
      <c r="H1418" s="2"/>
      <c r="I1418" s="2"/>
      <c r="J1418" s="2" t="s">
        <v>19</v>
      </c>
      <c r="K1418" s="2"/>
      <c r="L1418" s="2" t="s">
        <v>893</v>
      </c>
    </row>
    <row r="1419" customFormat="false" ht="13.35" hidden="false" customHeight="true" outlineLevel="0" collapsed="false">
      <c r="A1419" s="5" t="str">
        <f aca="false">HYPERLINK("https://www.fabsurplus.com/sdi_catalog/salesItemDetails.do?id=93911")</f>
        <v>https://www.fabsurplus.com/sdi_catalog/salesItemDetails.do?id=93911</v>
      </c>
      <c r="B1419" s="5" t="s">
        <v>3888</v>
      </c>
      <c r="C1419" s="5" t="s">
        <v>3607</v>
      </c>
      <c r="D1419" s="5" t="s">
        <v>3889</v>
      </c>
      <c r="E1419" s="5" t="s">
        <v>3890</v>
      </c>
      <c r="F1419" s="5" t="s">
        <v>16</v>
      </c>
      <c r="G1419" s="5" t="s">
        <v>36</v>
      </c>
      <c r="H1419" s="5"/>
      <c r="I1419" s="6" t="n">
        <v>36312</v>
      </c>
      <c r="J1419" s="5" t="s">
        <v>19</v>
      </c>
      <c r="K1419" s="5"/>
      <c r="L1419" s="7" t="s">
        <v>241</v>
      </c>
    </row>
    <row r="1420" customFormat="false" ht="13.35" hidden="false" customHeight="true" outlineLevel="0" collapsed="false">
      <c r="A1420" s="2" t="str">
        <f aca="false">HYPERLINK("https://www.fabsurplus.com/sdi_catalog/salesItemDetails.do?id=102274")</f>
        <v>https://www.fabsurplus.com/sdi_catalog/salesItemDetails.do?id=102274</v>
      </c>
      <c r="B1420" s="2" t="s">
        <v>3891</v>
      </c>
      <c r="C1420" s="2" t="s">
        <v>3607</v>
      </c>
      <c r="D1420" s="2" t="s">
        <v>3892</v>
      </c>
      <c r="E1420" s="2" t="s">
        <v>3893</v>
      </c>
      <c r="F1420" s="2" t="s">
        <v>16</v>
      </c>
      <c r="G1420" s="2" t="s">
        <v>17</v>
      </c>
      <c r="H1420" s="2"/>
      <c r="I1420" s="2"/>
      <c r="J1420" s="2" t="s">
        <v>19</v>
      </c>
      <c r="K1420" s="2"/>
      <c r="L1420" s="2"/>
    </row>
    <row r="1421" customFormat="false" ht="13.35" hidden="false" customHeight="true" outlineLevel="0" collapsed="false">
      <c r="A1421" s="2" t="str">
        <f aca="false">HYPERLINK("https://www.fabsurplus.com/sdi_catalog/salesItemDetails.do?id=102842")</f>
        <v>https://www.fabsurplus.com/sdi_catalog/salesItemDetails.do?id=102842</v>
      </c>
      <c r="B1421" s="2" t="s">
        <v>3894</v>
      </c>
      <c r="C1421" s="2" t="s">
        <v>3895</v>
      </c>
      <c r="D1421" s="2" t="s">
        <v>3896</v>
      </c>
      <c r="E1421" s="2" t="s">
        <v>3897</v>
      </c>
      <c r="F1421" s="2" t="s">
        <v>16</v>
      </c>
      <c r="G1421" s="2" t="s">
        <v>36</v>
      </c>
      <c r="H1421" s="2" t="s">
        <v>96</v>
      </c>
      <c r="I1421" s="2"/>
      <c r="J1421" s="2" t="s">
        <v>47</v>
      </c>
      <c r="K1421" s="2" t="s">
        <v>20</v>
      </c>
      <c r="L1421" s="4" t="s">
        <v>3898</v>
      </c>
    </row>
    <row r="1422" customFormat="false" ht="13.35" hidden="false" customHeight="true" outlineLevel="0" collapsed="false">
      <c r="A1422" s="2" t="str">
        <f aca="false">HYPERLINK("https://www.fabsurplus.com/sdi_catalog/salesItemDetails.do?id=103163")</f>
        <v>https://www.fabsurplus.com/sdi_catalog/salesItemDetails.do?id=103163</v>
      </c>
      <c r="B1422" s="2" t="s">
        <v>3899</v>
      </c>
      <c r="C1422" s="2" t="s">
        <v>3900</v>
      </c>
      <c r="D1422" s="2" t="s">
        <v>3901</v>
      </c>
      <c r="E1422" s="2" t="s">
        <v>2196</v>
      </c>
      <c r="F1422" s="2" t="s">
        <v>16</v>
      </c>
      <c r="G1422" s="2"/>
      <c r="H1422" s="2"/>
      <c r="I1422" s="2"/>
      <c r="J1422" s="2" t="s">
        <v>47</v>
      </c>
      <c r="K1422" s="2"/>
      <c r="L1422" s="4" t="s">
        <v>3902</v>
      </c>
    </row>
    <row r="1423" customFormat="false" ht="13.35" hidden="false" customHeight="true" outlineLevel="0" collapsed="false">
      <c r="A1423" s="5" t="str">
        <f aca="false">HYPERLINK("https://www.fabsurplus.com/sdi_catalog/salesItemDetails.do?id=103162")</f>
        <v>https://www.fabsurplus.com/sdi_catalog/salesItemDetails.do?id=103162</v>
      </c>
      <c r="B1423" s="5" t="s">
        <v>3903</v>
      </c>
      <c r="C1423" s="5" t="s">
        <v>3900</v>
      </c>
      <c r="D1423" s="5" t="s">
        <v>3904</v>
      </c>
      <c r="E1423" s="5" t="s">
        <v>2196</v>
      </c>
      <c r="F1423" s="5" t="s">
        <v>16</v>
      </c>
      <c r="G1423" s="5" t="s">
        <v>36</v>
      </c>
      <c r="H1423" s="5"/>
      <c r="I1423" s="5"/>
      <c r="J1423" s="5" t="s">
        <v>47</v>
      </c>
      <c r="K1423" s="5"/>
      <c r="L1423" s="7" t="s">
        <v>3905</v>
      </c>
    </row>
    <row r="1424" customFormat="false" ht="13.35" hidden="false" customHeight="true" outlineLevel="0" collapsed="false">
      <c r="A1424" s="2" t="str">
        <f aca="false">HYPERLINK("https://www.fabsurplus.com/sdi_catalog/salesItemDetails.do?id=100907")</f>
        <v>https://www.fabsurplus.com/sdi_catalog/salesItemDetails.do?id=100907</v>
      </c>
      <c r="B1424" s="2" t="s">
        <v>3906</v>
      </c>
      <c r="C1424" s="2" t="s">
        <v>3900</v>
      </c>
      <c r="D1424" s="2" t="s">
        <v>3907</v>
      </c>
      <c r="E1424" s="2" t="s">
        <v>3674</v>
      </c>
      <c r="F1424" s="2" t="s">
        <v>16</v>
      </c>
      <c r="G1424" s="2" t="s">
        <v>17</v>
      </c>
      <c r="H1424" s="2"/>
      <c r="I1424" s="3" t="n">
        <v>38139</v>
      </c>
      <c r="J1424" s="2"/>
      <c r="K1424" s="2"/>
      <c r="L1424" s="2" t="s">
        <v>3908</v>
      </c>
    </row>
    <row r="1425" customFormat="false" ht="13.35" hidden="false" customHeight="true" outlineLevel="0" collapsed="false">
      <c r="A1425" s="5" t="str">
        <f aca="false">HYPERLINK("https://www.fabsurplus.com/sdi_catalog/salesItemDetails.do?id=98032")</f>
        <v>https://www.fabsurplus.com/sdi_catalog/salesItemDetails.do?id=98032</v>
      </c>
      <c r="B1425" s="5" t="s">
        <v>3909</v>
      </c>
      <c r="C1425" s="5" t="s">
        <v>3900</v>
      </c>
      <c r="D1425" s="5" t="s">
        <v>3907</v>
      </c>
      <c r="E1425" s="5" t="s">
        <v>3674</v>
      </c>
      <c r="F1425" s="5" t="s">
        <v>16</v>
      </c>
      <c r="G1425" s="5" t="s">
        <v>17</v>
      </c>
      <c r="H1425" s="5"/>
      <c r="I1425" s="6" t="n">
        <v>38139</v>
      </c>
      <c r="J1425" s="5" t="s">
        <v>19</v>
      </c>
      <c r="K1425" s="5"/>
      <c r="L1425" s="5"/>
    </row>
    <row r="1426" customFormat="false" ht="13.35" hidden="false" customHeight="true" outlineLevel="0" collapsed="false">
      <c r="A1426" s="2" t="str">
        <f aca="false">HYPERLINK("https://www.fabsurplus.com/sdi_catalog/salesItemDetails.do?id=98033")</f>
        <v>https://www.fabsurplus.com/sdi_catalog/salesItemDetails.do?id=98033</v>
      </c>
      <c r="B1426" s="2" t="s">
        <v>3910</v>
      </c>
      <c r="C1426" s="2" t="s">
        <v>3900</v>
      </c>
      <c r="D1426" s="2" t="s">
        <v>3911</v>
      </c>
      <c r="E1426" s="2" t="s">
        <v>3830</v>
      </c>
      <c r="F1426" s="2" t="s">
        <v>16</v>
      </c>
      <c r="G1426" s="2" t="s">
        <v>36</v>
      </c>
      <c r="H1426" s="2"/>
      <c r="I1426" s="3" t="n">
        <v>36678</v>
      </c>
      <c r="J1426" s="2" t="s">
        <v>19</v>
      </c>
      <c r="K1426" s="2"/>
      <c r="L1426" s="2"/>
    </row>
    <row r="1427" customFormat="false" ht="13.35" hidden="false" customHeight="true" outlineLevel="0" collapsed="false">
      <c r="A1427" s="5" t="str">
        <f aca="false">HYPERLINK("https://www.fabsurplus.com/sdi_catalog/salesItemDetails.do?id=98034")</f>
        <v>https://www.fabsurplus.com/sdi_catalog/salesItemDetails.do?id=98034</v>
      </c>
      <c r="B1427" s="5" t="s">
        <v>3912</v>
      </c>
      <c r="C1427" s="5" t="s">
        <v>3900</v>
      </c>
      <c r="D1427" s="5" t="s">
        <v>3913</v>
      </c>
      <c r="E1427" s="5" t="s">
        <v>3914</v>
      </c>
      <c r="F1427" s="5" t="s">
        <v>16</v>
      </c>
      <c r="G1427" s="5" t="s">
        <v>17</v>
      </c>
      <c r="H1427" s="5"/>
      <c r="I1427" s="6" t="n">
        <v>38504</v>
      </c>
      <c r="J1427" s="5" t="s">
        <v>19</v>
      </c>
      <c r="K1427" s="5"/>
      <c r="L1427" s="5"/>
    </row>
    <row r="1428" customFormat="false" ht="13.35" hidden="false" customHeight="true" outlineLevel="0" collapsed="false">
      <c r="A1428" s="5" t="str">
        <f aca="false">HYPERLINK("https://www.fabsurplus.com/sdi_catalog/salesItemDetails.do?id=102987")</f>
        <v>https://www.fabsurplus.com/sdi_catalog/salesItemDetails.do?id=102987</v>
      </c>
      <c r="B1428" s="5" t="s">
        <v>3915</v>
      </c>
      <c r="C1428" s="5" t="s">
        <v>3900</v>
      </c>
      <c r="D1428" s="5" t="s">
        <v>3833</v>
      </c>
      <c r="E1428" s="5" t="s">
        <v>3916</v>
      </c>
      <c r="F1428" s="5" t="s">
        <v>16</v>
      </c>
      <c r="G1428" s="5" t="s">
        <v>17</v>
      </c>
      <c r="H1428" s="5"/>
      <c r="I1428" s="6" t="n">
        <v>40695</v>
      </c>
      <c r="J1428" s="5" t="s">
        <v>19</v>
      </c>
      <c r="K1428" s="5"/>
      <c r="L1428" s="5" t="s">
        <v>1274</v>
      </c>
    </row>
    <row r="1429" customFormat="false" ht="13.35" hidden="false" customHeight="true" outlineLevel="0" collapsed="false">
      <c r="A1429" s="5" t="str">
        <f aca="false">HYPERLINK("https://www.fabsurplus.com/sdi_catalog/salesItemDetails.do?id=103164")</f>
        <v>https://www.fabsurplus.com/sdi_catalog/salesItemDetails.do?id=103164</v>
      </c>
      <c r="B1429" s="5" t="s">
        <v>3917</v>
      </c>
      <c r="C1429" s="5" t="s">
        <v>3900</v>
      </c>
      <c r="D1429" s="5" t="s">
        <v>3918</v>
      </c>
      <c r="E1429" s="5" t="s">
        <v>3604</v>
      </c>
      <c r="F1429" s="5" t="s">
        <v>16</v>
      </c>
      <c r="G1429" s="5" t="s">
        <v>493</v>
      </c>
      <c r="H1429" s="5"/>
      <c r="I1429" s="6" t="n">
        <v>31564</v>
      </c>
      <c r="J1429" s="5" t="s">
        <v>47</v>
      </c>
      <c r="K1429" s="5"/>
      <c r="L1429" s="7" t="s">
        <v>3919</v>
      </c>
    </row>
    <row r="1430" customFormat="false" ht="13.35" hidden="false" customHeight="true" outlineLevel="0" collapsed="false">
      <c r="A1430" s="2" t="str">
        <f aca="false">HYPERLINK("https://www.fabsurplus.com/sdi_catalog/salesItemDetails.do?id=103165")</f>
        <v>https://www.fabsurplus.com/sdi_catalog/salesItemDetails.do?id=103165</v>
      </c>
      <c r="B1430" s="2" t="s">
        <v>3920</v>
      </c>
      <c r="C1430" s="2" t="s">
        <v>3900</v>
      </c>
      <c r="D1430" s="2" t="s">
        <v>3840</v>
      </c>
      <c r="E1430" s="2" t="s">
        <v>3604</v>
      </c>
      <c r="F1430" s="2" t="s">
        <v>16</v>
      </c>
      <c r="G1430" s="2" t="s">
        <v>493</v>
      </c>
      <c r="H1430" s="2"/>
      <c r="I1430" s="2"/>
      <c r="J1430" s="2" t="s">
        <v>47</v>
      </c>
      <c r="K1430" s="2"/>
      <c r="L1430" s="4" t="s">
        <v>3921</v>
      </c>
    </row>
    <row r="1431" customFormat="false" ht="13.35" hidden="false" customHeight="true" outlineLevel="0" collapsed="false">
      <c r="A1431" s="2" t="str">
        <f aca="false">HYPERLINK("https://www.fabsurplus.com/sdi_catalog/salesItemDetails.do?id=103166")</f>
        <v>https://www.fabsurplus.com/sdi_catalog/salesItemDetails.do?id=103166</v>
      </c>
      <c r="B1431" s="2" t="s">
        <v>3922</v>
      </c>
      <c r="C1431" s="2" t="s">
        <v>3900</v>
      </c>
      <c r="D1431" s="2" t="s">
        <v>3923</v>
      </c>
      <c r="E1431" s="2" t="s">
        <v>3604</v>
      </c>
      <c r="F1431" s="2" t="s">
        <v>16</v>
      </c>
      <c r="G1431" s="2" t="s">
        <v>36</v>
      </c>
      <c r="H1431" s="2"/>
      <c r="I1431" s="3" t="n">
        <v>32295</v>
      </c>
      <c r="J1431" s="2" t="s">
        <v>47</v>
      </c>
      <c r="K1431" s="2"/>
      <c r="L1431" s="4" t="s">
        <v>3924</v>
      </c>
    </row>
    <row r="1432" customFormat="false" ht="13.35" hidden="false" customHeight="true" outlineLevel="0" collapsed="false">
      <c r="A1432" s="5" t="str">
        <f aca="false">HYPERLINK("https://www.fabsurplus.com/sdi_catalog/salesItemDetails.do?id=102988")</f>
        <v>https://www.fabsurplus.com/sdi_catalog/salesItemDetails.do?id=102988</v>
      </c>
      <c r="B1432" s="5" t="s">
        <v>3925</v>
      </c>
      <c r="C1432" s="5" t="s">
        <v>3900</v>
      </c>
      <c r="D1432" s="5" t="s">
        <v>3889</v>
      </c>
      <c r="E1432" s="5" t="s">
        <v>3887</v>
      </c>
      <c r="F1432" s="5" t="s">
        <v>16</v>
      </c>
      <c r="G1432" s="5" t="s">
        <v>36</v>
      </c>
      <c r="H1432" s="5"/>
      <c r="I1432" s="6" t="n">
        <v>36312</v>
      </c>
      <c r="J1432" s="5" t="s">
        <v>19</v>
      </c>
      <c r="K1432" s="5"/>
      <c r="L1432" s="5" t="s">
        <v>1274</v>
      </c>
    </row>
    <row r="1433" customFormat="false" ht="13.35" hidden="false" customHeight="true" outlineLevel="0" collapsed="false">
      <c r="A1433" s="5" t="str">
        <f aca="false">HYPERLINK("https://www.fabsurplus.com/sdi_catalog/salesItemDetails.do?id=101359")</f>
        <v>https://www.fabsurplus.com/sdi_catalog/salesItemDetails.do?id=101359</v>
      </c>
      <c r="B1433" s="5" t="s">
        <v>3926</v>
      </c>
      <c r="C1433" s="5" t="s">
        <v>3927</v>
      </c>
      <c r="D1433" s="5" t="s">
        <v>3928</v>
      </c>
      <c r="E1433" s="5" t="s">
        <v>3405</v>
      </c>
      <c r="F1433" s="5" t="s">
        <v>16</v>
      </c>
      <c r="G1433" s="5" t="s">
        <v>36</v>
      </c>
      <c r="H1433" s="5" t="s">
        <v>26</v>
      </c>
      <c r="I1433" s="6" t="n">
        <v>40848</v>
      </c>
      <c r="J1433" s="5" t="s">
        <v>19</v>
      </c>
      <c r="K1433" s="5" t="s">
        <v>20</v>
      </c>
      <c r="L1433" s="5" t="s">
        <v>177</v>
      </c>
    </row>
    <row r="1434" customFormat="false" ht="13.35" hidden="false" customHeight="true" outlineLevel="0" collapsed="false">
      <c r="A1434" s="2" t="str">
        <f aca="false">HYPERLINK("https://www.fabsurplus.com/sdi_catalog/salesItemDetails.do?id=96997")</f>
        <v>https://www.fabsurplus.com/sdi_catalog/salesItemDetails.do?id=96997</v>
      </c>
      <c r="B1434" s="2" t="s">
        <v>3929</v>
      </c>
      <c r="C1434" s="2" t="s">
        <v>3927</v>
      </c>
      <c r="D1434" s="2" t="s">
        <v>3930</v>
      </c>
      <c r="E1434" s="2" t="s">
        <v>3647</v>
      </c>
      <c r="F1434" s="2" t="s">
        <v>16</v>
      </c>
      <c r="G1434" s="2" t="s">
        <v>36</v>
      </c>
      <c r="H1434" s="2" t="s">
        <v>26</v>
      </c>
      <c r="I1434" s="3" t="n">
        <v>35582</v>
      </c>
      <c r="J1434" s="2" t="s">
        <v>19</v>
      </c>
      <c r="K1434" s="2" t="s">
        <v>20</v>
      </c>
      <c r="L1434" s="2" t="s">
        <v>3845</v>
      </c>
    </row>
    <row r="1435" customFormat="false" ht="13.35" hidden="false" customHeight="true" outlineLevel="0" collapsed="false">
      <c r="A1435" s="2" t="str">
        <f aca="false">HYPERLINK("https://www.fabsurplus.com/sdi_catalog/salesItemDetails.do?id=101731")</f>
        <v>https://www.fabsurplus.com/sdi_catalog/salesItemDetails.do?id=101731</v>
      </c>
      <c r="B1435" s="2" t="s">
        <v>3931</v>
      </c>
      <c r="C1435" s="2" t="s">
        <v>3932</v>
      </c>
      <c r="D1435" s="2" t="s">
        <v>3933</v>
      </c>
      <c r="E1435" s="2" t="s">
        <v>3934</v>
      </c>
      <c r="F1435" s="2" t="s">
        <v>16</v>
      </c>
      <c r="G1435" s="2"/>
      <c r="H1435" s="2"/>
      <c r="I1435" s="3" t="n">
        <v>38961</v>
      </c>
      <c r="J1435" s="2" t="s">
        <v>47</v>
      </c>
      <c r="K1435" s="2"/>
      <c r="L1435" s="2"/>
    </row>
    <row r="1436" customFormat="false" ht="13.35" hidden="false" customHeight="true" outlineLevel="0" collapsed="false">
      <c r="A1436" s="2" t="str">
        <f aca="false">HYPERLINK("https://www.fabsurplus.com/sdi_catalog/salesItemDetails.do?id=90149")</f>
        <v>https://www.fabsurplus.com/sdi_catalog/salesItemDetails.do?id=90149</v>
      </c>
      <c r="B1436" s="2" t="s">
        <v>3935</v>
      </c>
      <c r="C1436" s="2" t="s">
        <v>3932</v>
      </c>
      <c r="D1436" s="2" t="s">
        <v>3936</v>
      </c>
      <c r="E1436" s="2" t="s">
        <v>3937</v>
      </c>
      <c r="F1436" s="2" t="s">
        <v>16</v>
      </c>
      <c r="G1436" s="2" t="s">
        <v>17</v>
      </c>
      <c r="H1436" s="2"/>
      <c r="I1436" s="3" t="n">
        <v>41456</v>
      </c>
      <c r="J1436" s="2" t="s">
        <v>19</v>
      </c>
      <c r="K1436" s="2"/>
      <c r="L1436" s="2" t="s">
        <v>2498</v>
      </c>
    </row>
    <row r="1437" customFormat="false" ht="13.35" hidden="false" customHeight="true" outlineLevel="0" collapsed="false">
      <c r="A1437" s="2" t="str">
        <f aca="false">HYPERLINK("https://www.fabsurplus.com/sdi_catalog/salesItemDetails.do?id=102279")</f>
        <v>https://www.fabsurplus.com/sdi_catalog/salesItemDetails.do?id=102279</v>
      </c>
      <c r="B1437" s="2" t="s">
        <v>3938</v>
      </c>
      <c r="C1437" s="2" t="s">
        <v>3932</v>
      </c>
      <c r="D1437" s="2" t="s">
        <v>3939</v>
      </c>
      <c r="E1437" s="2" t="s">
        <v>3940</v>
      </c>
      <c r="F1437" s="2" t="s">
        <v>16</v>
      </c>
      <c r="G1437" s="2" t="s">
        <v>17</v>
      </c>
      <c r="H1437" s="2"/>
      <c r="I1437" s="3" t="n">
        <v>41791</v>
      </c>
      <c r="J1437" s="2" t="s">
        <v>19</v>
      </c>
      <c r="K1437" s="2"/>
      <c r="L1437" s="2"/>
    </row>
    <row r="1438" customFormat="false" ht="13.35" hidden="false" customHeight="true" outlineLevel="0" collapsed="false">
      <c r="A1438" s="2" t="str">
        <f aca="false">HYPERLINK("https://www.fabsurplus.com/sdi_catalog/salesItemDetails.do?id=91251")</f>
        <v>https://www.fabsurplus.com/sdi_catalog/salesItemDetails.do?id=91251</v>
      </c>
      <c r="B1438" s="2" t="s">
        <v>3941</v>
      </c>
      <c r="C1438" s="2" t="s">
        <v>3932</v>
      </c>
      <c r="D1438" s="2" t="s">
        <v>3942</v>
      </c>
      <c r="E1438" s="2" t="s">
        <v>3943</v>
      </c>
      <c r="F1438" s="2" t="s">
        <v>16</v>
      </c>
      <c r="G1438" s="2" t="s">
        <v>493</v>
      </c>
      <c r="H1438" s="2"/>
      <c r="I1438" s="2"/>
      <c r="J1438" s="2" t="s">
        <v>19</v>
      </c>
      <c r="K1438" s="2"/>
      <c r="L1438" s="2" t="s">
        <v>112</v>
      </c>
    </row>
    <row r="1439" customFormat="false" ht="13.35" hidden="false" customHeight="true" outlineLevel="0" collapsed="false">
      <c r="A1439" s="5" t="str">
        <f aca="false">HYPERLINK("https://www.fabsurplus.com/sdi_catalog/salesItemDetails.do?id=103142")</f>
        <v>https://www.fabsurplus.com/sdi_catalog/salesItemDetails.do?id=103142</v>
      </c>
      <c r="B1439" s="5" t="s">
        <v>3944</v>
      </c>
      <c r="C1439" s="5" t="s">
        <v>3932</v>
      </c>
      <c r="D1439" s="5" t="s">
        <v>3945</v>
      </c>
      <c r="E1439" s="5" t="s">
        <v>3934</v>
      </c>
      <c r="F1439" s="5" t="s">
        <v>16</v>
      </c>
      <c r="G1439" s="5" t="s">
        <v>17</v>
      </c>
      <c r="H1439" s="5"/>
      <c r="I1439" s="6" t="n">
        <v>39234</v>
      </c>
      <c r="J1439" s="5" t="s">
        <v>19</v>
      </c>
      <c r="K1439" s="5"/>
      <c r="L1439" s="5"/>
    </row>
    <row r="1440" customFormat="false" ht="13.35" hidden="false" customHeight="true" outlineLevel="0" collapsed="false">
      <c r="A1440" s="2" t="str">
        <f aca="false">HYPERLINK("https://www.fabsurplus.com/sdi_catalog/salesItemDetails.do?id=102281")</f>
        <v>https://www.fabsurplus.com/sdi_catalog/salesItemDetails.do?id=102281</v>
      </c>
      <c r="B1440" s="2" t="s">
        <v>3946</v>
      </c>
      <c r="C1440" s="2" t="s">
        <v>3932</v>
      </c>
      <c r="D1440" s="2" t="s">
        <v>3947</v>
      </c>
      <c r="E1440" s="2" t="s">
        <v>3948</v>
      </c>
      <c r="F1440" s="2" t="s">
        <v>16</v>
      </c>
      <c r="G1440" s="2" t="s">
        <v>17</v>
      </c>
      <c r="H1440" s="2"/>
      <c r="I1440" s="2"/>
      <c r="J1440" s="2" t="s">
        <v>19</v>
      </c>
      <c r="K1440" s="2"/>
      <c r="L1440" s="2"/>
    </row>
    <row r="1441" customFormat="false" ht="13.35" hidden="false" customHeight="true" outlineLevel="0" collapsed="false">
      <c r="A1441" s="5" t="str">
        <f aca="false">HYPERLINK("https://www.fabsurplus.com/sdi_catalog/salesItemDetails.do?id=102282")</f>
        <v>https://www.fabsurplus.com/sdi_catalog/salesItemDetails.do?id=102282</v>
      </c>
      <c r="B1441" s="5" t="s">
        <v>3949</v>
      </c>
      <c r="C1441" s="5" t="s">
        <v>3932</v>
      </c>
      <c r="D1441" s="5" t="s">
        <v>3947</v>
      </c>
      <c r="E1441" s="5" t="s">
        <v>3948</v>
      </c>
      <c r="F1441" s="5" t="s">
        <v>16</v>
      </c>
      <c r="G1441" s="5" t="s">
        <v>17</v>
      </c>
      <c r="H1441" s="5"/>
      <c r="I1441" s="5"/>
      <c r="J1441" s="5" t="s">
        <v>19</v>
      </c>
      <c r="K1441" s="5"/>
      <c r="L1441" s="5"/>
    </row>
    <row r="1442" customFormat="false" ht="13.35" hidden="false" customHeight="true" outlineLevel="0" collapsed="false">
      <c r="A1442" s="5" t="str">
        <f aca="false">HYPERLINK("https://www.fabsurplus.com/sdi_catalog/salesItemDetails.do?id=102280")</f>
        <v>https://www.fabsurplus.com/sdi_catalog/salesItemDetails.do?id=102280</v>
      </c>
      <c r="B1442" s="5" t="s">
        <v>3950</v>
      </c>
      <c r="C1442" s="5" t="s">
        <v>3932</v>
      </c>
      <c r="D1442" s="5" t="s">
        <v>3947</v>
      </c>
      <c r="E1442" s="5" t="s">
        <v>3951</v>
      </c>
      <c r="F1442" s="5" t="s">
        <v>16</v>
      </c>
      <c r="G1442" s="5" t="s">
        <v>17</v>
      </c>
      <c r="H1442" s="5"/>
      <c r="I1442" s="6" t="n">
        <v>38869</v>
      </c>
      <c r="J1442" s="5" t="s">
        <v>19</v>
      </c>
      <c r="K1442" s="5"/>
      <c r="L1442" s="5"/>
    </row>
    <row r="1443" customFormat="false" ht="13.35" hidden="false" customHeight="true" outlineLevel="0" collapsed="false">
      <c r="A1443" s="5" t="str">
        <f aca="false">HYPERLINK("https://www.fabsurplus.com/sdi_catalog/salesItemDetails.do?id=90148")</f>
        <v>https://www.fabsurplus.com/sdi_catalog/salesItemDetails.do?id=90148</v>
      </c>
      <c r="B1443" s="5" t="s">
        <v>3952</v>
      </c>
      <c r="C1443" s="5" t="s">
        <v>3932</v>
      </c>
      <c r="D1443" s="5" t="s">
        <v>3953</v>
      </c>
      <c r="E1443" s="5" t="s">
        <v>3954</v>
      </c>
      <c r="F1443" s="5" t="s">
        <v>16</v>
      </c>
      <c r="G1443" s="5" t="s">
        <v>17</v>
      </c>
      <c r="H1443" s="5"/>
      <c r="I1443" s="6" t="n">
        <v>41306</v>
      </c>
      <c r="J1443" s="5" t="s">
        <v>19</v>
      </c>
      <c r="K1443" s="5"/>
      <c r="L1443" s="5" t="s">
        <v>2498</v>
      </c>
    </row>
    <row r="1444" customFormat="false" ht="13.35" hidden="false" customHeight="true" outlineLevel="0" collapsed="false">
      <c r="A1444" s="5" t="str">
        <f aca="false">HYPERLINK("https://www.fabsurplus.com/sdi_catalog/salesItemDetails.do?id=98810")</f>
        <v>https://www.fabsurplus.com/sdi_catalog/salesItemDetails.do?id=98810</v>
      </c>
      <c r="B1444" s="5" t="s">
        <v>3955</v>
      </c>
      <c r="C1444" s="5" t="s">
        <v>3932</v>
      </c>
      <c r="D1444" s="5" t="s">
        <v>3956</v>
      </c>
      <c r="E1444" s="5" t="s">
        <v>3957</v>
      </c>
      <c r="F1444" s="5" t="s">
        <v>16</v>
      </c>
      <c r="G1444" s="5" t="s">
        <v>17</v>
      </c>
      <c r="H1444" s="5" t="s">
        <v>26</v>
      </c>
      <c r="I1444" s="6" t="n">
        <v>39387</v>
      </c>
      <c r="J1444" s="5" t="s">
        <v>19</v>
      </c>
      <c r="K1444" s="5" t="s">
        <v>20</v>
      </c>
      <c r="L1444" s="5" t="s">
        <v>474</v>
      </c>
    </row>
    <row r="1445" customFormat="false" ht="13.35" hidden="false" customHeight="true" outlineLevel="0" collapsed="false">
      <c r="A1445" s="2" t="str">
        <f aca="false">HYPERLINK("https://www.fabsurplus.com/sdi_catalog/salesItemDetails.do?id=102721")</f>
        <v>https://www.fabsurplus.com/sdi_catalog/salesItemDetails.do?id=102721</v>
      </c>
      <c r="B1445" s="2" t="s">
        <v>3958</v>
      </c>
      <c r="C1445" s="2" t="s">
        <v>3932</v>
      </c>
      <c r="D1445" s="2" t="s">
        <v>3959</v>
      </c>
      <c r="E1445" s="2" t="s">
        <v>3934</v>
      </c>
      <c r="F1445" s="2" t="s">
        <v>16</v>
      </c>
      <c r="G1445" s="2" t="s">
        <v>17</v>
      </c>
      <c r="H1445" s="2"/>
      <c r="I1445" s="2"/>
      <c r="J1445" s="2" t="s">
        <v>19</v>
      </c>
      <c r="K1445" s="2"/>
      <c r="L1445" s="2"/>
    </row>
    <row r="1446" customFormat="false" ht="13.35" hidden="false" customHeight="true" outlineLevel="0" collapsed="false">
      <c r="A1446" s="5" t="str">
        <f aca="false">HYPERLINK("https://www.fabsurplus.com/sdi_catalog/salesItemDetails.do?id=103101")</f>
        <v>https://www.fabsurplus.com/sdi_catalog/salesItemDetails.do?id=103101</v>
      </c>
      <c r="B1446" s="5" t="s">
        <v>3960</v>
      </c>
      <c r="C1446" s="5" t="s">
        <v>3932</v>
      </c>
      <c r="D1446" s="5" t="s">
        <v>3961</v>
      </c>
      <c r="E1446" s="5" t="s">
        <v>3962</v>
      </c>
      <c r="F1446" s="5" t="s">
        <v>16</v>
      </c>
      <c r="G1446" s="5" t="s">
        <v>658</v>
      </c>
      <c r="H1446" s="5"/>
      <c r="I1446" s="5"/>
      <c r="J1446" s="5" t="s">
        <v>19</v>
      </c>
      <c r="K1446" s="5"/>
      <c r="L1446" s="5" t="s">
        <v>3963</v>
      </c>
    </row>
    <row r="1447" customFormat="false" ht="13.35" hidden="false" customHeight="true" outlineLevel="0" collapsed="false">
      <c r="A1447" s="5" t="str">
        <f aca="false">HYPERLINK("https://www.fabsurplus.com/sdi_catalog/salesItemDetails.do?id=102724")</f>
        <v>https://www.fabsurplus.com/sdi_catalog/salesItemDetails.do?id=102724</v>
      </c>
      <c r="B1447" s="5" t="s">
        <v>3964</v>
      </c>
      <c r="C1447" s="5" t="s">
        <v>3932</v>
      </c>
      <c r="D1447" s="5" t="s">
        <v>3961</v>
      </c>
      <c r="E1447" s="5" t="s">
        <v>3965</v>
      </c>
      <c r="F1447" s="5" t="s">
        <v>16</v>
      </c>
      <c r="G1447" s="5" t="s">
        <v>17</v>
      </c>
      <c r="H1447" s="5"/>
      <c r="I1447" s="5"/>
      <c r="J1447" s="5" t="s">
        <v>19</v>
      </c>
      <c r="K1447" s="5"/>
      <c r="L1447" s="5"/>
    </row>
    <row r="1448" customFormat="false" ht="13.35" hidden="false" customHeight="true" outlineLevel="0" collapsed="false">
      <c r="A1448" s="2" t="str">
        <f aca="false">HYPERLINK("https://www.fabsurplus.com/sdi_catalog/salesItemDetails.do?id=102725")</f>
        <v>https://www.fabsurplus.com/sdi_catalog/salesItemDetails.do?id=102725</v>
      </c>
      <c r="B1448" s="2" t="s">
        <v>3966</v>
      </c>
      <c r="C1448" s="2" t="s">
        <v>3932</v>
      </c>
      <c r="D1448" s="2" t="s">
        <v>3961</v>
      </c>
      <c r="E1448" s="2" t="s">
        <v>3965</v>
      </c>
      <c r="F1448" s="2" t="s">
        <v>16</v>
      </c>
      <c r="G1448" s="2" t="s">
        <v>17</v>
      </c>
      <c r="H1448" s="2"/>
      <c r="I1448" s="2"/>
      <c r="J1448" s="2" t="s">
        <v>19</v>
      </c>
      <c r="K1448" s="2"/>
      <c r="L1448" s="2"/>
    </row>
    <row r="1449" customFormat="false" ht="13.35" hidden="false" customHeight="true" outlineLevel="0" collapsed="false">
      <c r="A1449" s="5" t="str">
        <f aca="false">HYPERLINK("https://www.fabsurplus.com/sdi_catalog/salesItemDetails.do?id=91253")</f>
        <v>https://www.fabsurplus.com/sdi_catalog/salesItemDetails.do?id=91253</v>
      </c>
      <c r="B1449" s="5" t="s">
        <v>3967</v>
      </c>
      <c r="C1449" s="5" t="s">
        <v>3968</v>
      </c>
      <c r="D1449" s="5" t="s">
        <v>3969</v>
      </c>
      <c r="E1449" s="5" t="s">
        <v>3970</v>
      </c>
      <c r="F1449" s="5" t="s">
        <v>16</v>
      </c>
      <c r="G1449" s="5" t="s">
        <v>17</v>
      </c>
      <c r="H1449" s="5"/>
      <c r="I1449" s="5"/>
      <c r="J1449" s="5" t="s">
        <v>19</v>
      </c>
      <c r="K1449" s="5"/>
      <c r="L1449" s="5" t="s">
        <v>112</v>
      </c>
    </row>
    <row r="1450" customFormat="false" ht="13.35" hidden="false" customHeight="true" outlineLevel="0" collapsed="false">
      <c r="A1450" s="2" t="str">
        <f aca="false">HYPERLINK("https://www.fabsurplus.com/sdi_catalog/salesItemDetails.do?id=91254")</f>
        <v>https://www.fabsurplus.com/sdi_catalog/salesItemDetails.do?id=91254</v>
      </c>
      <c r="B1450" s="2" t="s">
        <v>3971</v>
      </c>
      <c r="C1450" s="2" t="s">
        <v>3968</v>
      </c>
      <c r="D1450" s="2" t="s">
        <v>3969</v>
      </c>
      <c r="E1450" s="2" t="s">
        <v>3970</v>
      </c>
      <c r="F1450" s="2" t="s">
        <v>16</v>
      </c>
      <c r="G1450" s="2" t="s">
        <v>17</v>
      </c>
      <c r="H1450" s="2"/>
      <c r="I1450" s="2"/>
      <c r="J1450" s="2" t="s">
        <v>19</v>
      </c>
      <c r="K1450" s="2"/>
      <c r="L1450" s="2" t="s">
        <v>112</v>
      </c>
    </row>
    <row r="1451" customFormat="false" ht="13.35" hidden="false" customHeight="true" outlineLevel="0" collapsed="false">
      <c r="A1451" s="5" t="str">
        <f aca="false">HYPERLINK("https://www.fabsurplus.com/sdi_catalog/salesItemDetails.do?id=102499")</f>
        <v>https://www.fabsurplus.com/sdi_catalog/salesItemDetails.do?id=102499</v>
      </c>
      <c r="B1451" s="5" t="s">
        <v>3972</v>
      </c>
      <c r="C1451" s="5" t="s">
        <v>3932</v>
      </c>
      <c r="D1451" s="5" t="s">
        <v>3973</v>
      </c>
      <c r="E1451" s="5" t="s">
        <v>3974</v>
      </c>
      <c r="F1451" s="5" t="s">
        <v>16</v>
      </c>
      <c r="G1451" s="5" t="s">
        <v>222</v>
      </c>
      <c r="H1451" s="5" t="s">
        <v>26</v>
      </c>
      <c r="I1451" s="6" t="n">
        <v>34851</v>
      </c>
      <c r="J1451" s="5" t="s">
        <v>19</v>
      </c>
      <c r="K1451" s="5" t="s">
        <v>20</v>
      </c>
      <c r="L1451" s="7" t="s">
        <v>3975</v>
      </c>
    </row>
    <row r="1452" customFormat="false" ht="13.35" hidden="false" customHeight="true" outlineLevel="0" collapsed="false">
      <c r="A1452" s="2" t="str">
        <f aca="false">HYPERLINK("https://www.fabsurplus.com/sdi_catalog/salesItemDetails.do?id=102284")</f>
        <v>https://www.fabsurplus.com/sdi_catalog/salesItemDetails.do?id=102284</v>
      </c>
      <c r="B1452" s="2" t="s">
        <v>3976</v>
      </c>
      <c r="C1452" s="2" t="s">
        <v>3932</v>
      </c>
      <c r="D1452" s="2" t="s">
        <v>3977</v>
      </c>
      <c r="E1452" s="2" t="s">
        <v>3978</v>
      </c>
      <c r="F1452" s="2" t="s">
        <v>16</v>
      </c>
      <c r="G1452" s="2" t="s">
        <v>17</v>
      </c>
      <c r="H1452" s="2"/>
      <c r="I1452" s="2"/>
      <c r="J1452" s="2" t="s">
        <v>19</v>
      </c>
      <c r="K1452" s="2"/>
      <c r="L1452" s="2"/>
    </row>
    <row r="1453" customFormat="false" ht="13.35" hidden="false" customHeight="true" outlineLevel="0" collapsed="false">
      <c r="A1453" s="2" t="str">
        <f aca="false">HYPERLINK("https://www.fabsurplus.com/sdi_catalog/salesItemDetails.do?id=102731")</f>
        <v>https://www.fabsurplus.com/sdi_catalog/salesItemDetails.do?id=102731</v>
      </c>
      <c r="B1453" s="2" t="s">
        <v>3979</v>
      </c>
      <c r="C1453" s="2" t="s">
        <v>3932</v>
      </c>
      <c r="D1453" s="2" t="s">
        <v>3980</v>
      </c>
      <c r="E1453" s="2" t="s">
        <v>3981</v>
      </c>
      <c r="F1453" s="2" t="s">
        <v>16</v>
      </c>
      <c r="G1453" s="2" t="s">
        <v>17</v>
      </c>
      <c r="H1453" s="2"/>
      <c r="I1453" s="3" t="n">
        <v>37987</v>
      </c>
      <c r="J1453" s="2" t="s">
        <v>19</v>
      </c>
      <c r="K1453" s="2"/>
      <c r="L1453" s="4" t="s">
        <v>3982</v>
      </c>
    </row>
    <row r="1454" customFormat="false" ht="13.35" hidden="false" customHeight="true" outlineLevel="0" collapsed="false">
      <c r="A1454" s="5" t="str">
        <f aca="false">HYPERLINK("https://www.fabsurplus.com/sdi_catalog/salesItemDetails.do?id=102732")</f>
        <v>https://www.fabsurplus.com/sdi_catalog/salesItemDetails.do?id=102732</v>
      </c>
      <c r="B1454" s="5" t="s">
        <v>3983</v>
      </c>
      <c r="C1454" s="5" t="s">
        <v>3932</v>
      </c>
      <c r="D1454" s="5" t="s">
        <v>3984</v>
      </c>
      <c r="E1454" s="5" t="s">
        <v>3985</v>
      </c>
      <c r="F1454" s="5" t="s">
        <v>16</v>
      </c>
      <c r="G1454" s="5" t="s">
        <v>17</v>
      </c>
      <c r="H1454" s="5"/>
      <c r="I1454" s="6" t="n">
        <v>37803</v>
      </c>
      <c r="J1454" s="5" t="s">
        <v>19</v>
      </c>
      <c r="K1454" s="5"/>
      <c r="L1454" s="7" t="s">
        <v>3986</v>
      </c>
    </row>
    <row r="1455" customFormat="false" ht="13.35" hidden="false" customHeight="true" outlineLevel="0" collapsed="false">
      <c r="A1455" s="2" t="str">
        <f aca="false">HYPERLINK("https://www.fabsurplus.com/sdi_catalog/salesItemDetails.do?id=102733")</f>
        <v>https://www.fabsurplus.com/sdi_catalog/salesItemDetails.do?id=102733</v>
      </c>
      <c r="B1455" s="2" t="s">
        <v>3987</v>
      </c>
      <c r="C1455" s="2" t="s">
        <v>3932</v>
      </c>
      <c r="D1455" s="2" t="s">
        <v>3984</v>
      </c>
      <c r="E1455" s="2" t="s">
        <v>3988</v>
      </c>
      <c r="F1455" s="2" t="s">
        <v>16</v>
      </c>
      <c r="G1455" s="2" t="s">
        <v>17</v>
      </c>
      <c r="H1455" s="2"/>
      <c r="I1455" s="3" t="n">
        <v>37773</v>
      </c>
      <c r="J1455" s="2" t="s">
        <v>19</v>
      </c>
      <c r="K1455" s="2"/>
      <c r="L1455" s="4" t="s">
        <v>3989</v>
      </c>
    </row>
    <row r="1456" customFormat="false" ht="13.35" hidden="false" customHeight="true" outlineLevel="0" collapsed="false">
      <c r="A1456" s="5" t="str">
        <f aca="false">HYPERLINK("https://www.fabsurplus.com/sdi_catalog/salesItemDetails.do?id=102734")</f>
        <v>https://www.fabsurplus.com/sdi_catalog/salesItemDetails.do?id=102734</v>
      </c>
      <c r="B1456" s="5" t="s">
        <v>3990</v>
      </c>
      <c r="C1456" s="5" t="s">
        <v>3932</v>
      </c>
      <c r="D1456" s="5" t="s">
        <v>3991</v>
      </c>
      <c r="E1456" s="5" t="s">
        <v>3988</v>
      </c>
      <c r="F1456" s="5" t="s">
        <v>16</v>
      </c>
      <c r="G1456" s="5" t="s">
        <v>17</v>
      </c>
      <c r="H1456" s="5"/>
      <c r="I1456" s="6" t="n">
        <v>37803</v>
      </c>
      <c r="J1456" s="5" t="s">
        <v>19</v>
      </c>
      <c r="K1456" s="5"/>
      <c r="L1456" s="7" t="s">
        <v>3992</v>
      </c>
    </row>
    <row r="1457" customFormat="false" ht="13.35" hidden="false" customHeight="true" outlineLevel="0" collapsed="false">
      <c r="A1457" s="2" t="str">
        <f aca="false">HYPERLINK("https://www.fabsurplus.com/sdi_catalog/salesItemDetails.do?id=92959")</f>
        <v>https://www.fabsurplus.com/sdi_catalog/salesItemDetails.do?id=92959</v>
      </c>
      <c r="B1457" s="2" t="s">
        <v>3993</v>
      </c>
      <c r="C1457" s="2" t="s">
        <v>3994</v>
      </c>
      <c r="D1457" s="2" t="s">
        <v>3995</v>
      </c>
      <c r="E1457" s="2" t="s">
        <v>3996</v>
      </c>
      <c r="F1457" s="2" t="s">
        <v>16</v>
      </c>
      <c r="G1457" s="2" t="s">
        <v>3996</v>
      </c>
      <c r="H1457" s="2"/>
      <c r="I1457" s="2"/>
      <c r="J1457" s="2" t="s">
        <v>19</v>
      </c>
      <c r="K1457" s="2"/>
      <c r="L1457" s="2" t="s">
        <v>112</v>
      </c>
    </row>
    <row r="1458" customFormat="false" ht="13.35" hidden="false" customHeight="true" outlineLevel="0" collapsed="false">
      <c r="A1458" s="5" t="str">
        <f aca="false">HYPERLINK("https://www.fabsurplus.com/sdi_catalog/salesItemDetails.do?id=92960")</f>
        <v>https://www.fabsurplus.com/sdi_catalog/salesItemDetails.do?id=92960</v>
      </c>
      <c r="B1458" s="5" t="s">
        <v>3997</v>
      </c>
      <c r="C1458" s="5" t="s">
        <v>3994</v>
      </c>
      <c r="D1458" s="5" t="s">
        <v>3998</v>
      </c>
      <c r="E1458" s="5" t="s">
        <v>3996</v>
      </c>
      <c r="F1458" s="5" t="s">
        <v>16</v>
      </c>
      <c r="G1458" s="5" t="s">
        <v>3996</v>
      </c>
      <c r="H1458" s="5"/>
      <c r="I1458" s="5"/>
      <c r="J1458" s="5" t="s">
        <v>19</v>
      </c>
      <c r="K1458" s="5"/>
      <c r="L1458" s="5" t="s">
        <v>112</v>
      </c>
    </row>
    <row r="1459" customFormat="false" ht="13.35" hidden="false" customHeight="true" outlineLevel="0" collapsed="false">
      <c r="A1459" s="5" t="str">
        <f aca="false">HYPERLINK("https://www.fabsurplus.com/sdi_catalog/salesItemDetails.do?id=102995")</f>
        <v>https://www.fabsurplus.com/sdi_catalog/salesItemDetails.do?id=102995</v>
      </c>
      <c r="B1459" s="5" t="s">
        <v>3999</v>
      </c>
      <c r="C1459" s="5" t="s">
        <v>4000</v>
      </c>
      <c r="D1459" s="5" t="s">
        <v>4001</v>
      </c>
      <c r="E1459" s="5" t="s">
        <v>4002</v>
      </c>
      <c r="F1459" s="5" t="s">
        <v>16</v>
      </c>
      <c r="G1459" s="5"/>
      <c r="H1459" s="5" t="s">
        <v>26</v>
      </c>
      <c r="I1459" s="6" t="n">
        <v>40544</v>
      </c>
      <c r="J1459" s="5" t="s">
        <v>19</v>
      </c>
      <c r="K1459" s="5"/>
      <c r="L1459" s="5" t="s">
        <v>2254</v>
      </c>
    </row>
    <row r="1460" customFormat="false" ht="13.35" hidden="false" customHeight="true" outlineLevel="0" collapsed="false">
      <c r="A1460" s="2" t="str">
        <f aca="false">HYPERLINK("https://www.fabsurplus.com/sdi_catalog/salesItemDetails.do?id=100034")</f>
        <v>https://www.fabsurplus.com/sdi_catalog/salesItemDetails.do?id=100034</v>
      </c>
      <c r="B1460" s="2" t="s">
        <v>4003</v>
      </c>
      <c r="C1460" s="2" t="s">
        <v>4004</v>
      </c>
      <c r="D1460" s="2" t="s">
        <v>4005</v>
      </c>
      <c r="E1460" s="2" t="s">
        <v>2691</v>
      </c>
      <c r="F1460" s="2" t="s">
        <v>16</v>
      </c>
      <c r="G1460" s="2"/>
      <c r="H1460" s="2"/>
      <c r="I1460" s="2"/>
      <c r="J1460" s="2" t="s">
        <v>19</v>
      </c>
      <c r="K1460" s="2"/>
      <c r="L1460" s="4" t="s">
        <v>439</v>
      </c>
    </row>
    <row r="1461" customFormat="false" ht="13.35" hidden="false" customHeight="true" outlineLevel="0" collapsed="false">
      <c r="A1461" s="5" t="str">
        <f aca="false">HYPERLINK("https://www.fabsurplus.com/sdi_catalog/salesItemDetails.do?id=100035")</f>
        <v>https://www.fabsurplus.com/sdi_catalog/salesItemDetails.do?id=100035</v>
      </c>
      <c r="B1461" s="5" t="s">
        <v>4006</v>
      </c>
      <c r="C1461" s="5" t="s">
        <v>4004</v>
      </c>
      <c r="D1461" s="5" t="s">
        <v>4005</v>
      </c>
      <c r="E1461" s="5" t="s">
        <v>2691</v>
      </c>
      <c r="F1461" s="5" t="s">
        <v>16</v>
      </c>
      <c r="G1461" s="5"/>
      <c r="H1461" s="5"/>
      <c r="I1461" s="5"/>
      <c r="J1461" s="5" t="s">
        <v>19</v>
      </c>
      <c r="K1461" s="5"/>
      <c r="L1461" s="7" t="s">
        <v>439</v>
      </c>
    </row>
    <row r="1462" customFormat="false" ht="13.35" hidden="false" customHeight="true" outlineLevel="0" collapsed="false">
      <c r="A1462" s="2" t="str">
        <f aca="false">HYPERLINK("https://www.fabsurplus.com/sdi_catalog/salesItemDetails.do?id=100036")</f>
        <v>https://www.fabsurplus.com/sdi_catalog/salesItemDetails.do?id=100036</v>
      </c>
      <c r="B1462" s="2" t="s">
        <v>4007</v>
      </c>
      <c r="C1462" s="2" t="s">
        <v>4004</v>
      </c>
      <c r="D1462" s="2" t="s">
        <v>4005</v>
      </c>
      <c r="E1462" s="2" t="s">
        <v>2691</v>
      </c>
      <c r="F1462" s="2" t="s">
        <v>16</v>
      </c>
      <c r="G1462" s="2"/>
      <c r="H1462" s="2"/>
      <c r="I1462" s="2"/>
      <c r="J1462" s="2" t="s">
        <v>19</v>
      </c>
      <c r="K1462" s="2"/>
      <c r="L1462" s="4" t="s">
        <v>439</v>
      </c>
    </row>
    <row r="1463" customFormat="false" ht="13.35" hidden="false" customHeight="true" outlineLevel="0" collapsed="false">
      <c r="A1463" s="2" t="str">
        <f aca="false">HYPERLINK("https://www.fabsurplus.com/sdi_catalog/salesItemDetails.do?id=96006")</f>
        <v>https://www.fabsurplus.com/sdi_catalog/salesItemDetails.do?id=96006</v>
      </c>
      <c r="B1463" s="2" t="s">
        <v>4008</v>
      </c>
      <c r="C1463" s="2" t="s">
        <v>4004</v>
      </c>
      <c r="D1463" s="2" t="s">
        <v>4009</v>
      </c>
      <c r="E1463" s="2" t="s">
        <v>2691</v>
      </c>
      <c r="F1463" s="2" t="s">
        <v>16</v>
      </c>
      <c r="G1463" s="2"/>
      <c r="H1463" s="2"/>
      <c r="I1463" s="3" t="n">
        <v>36678</v>
      </c>
      <c r="J1463" s="2" t="s">
        <v>19</v>
      </c>
      <c r="K1463" s="2"/>
      <c r="L1463" s="4" t="s">
        <v>209</v>
      </c>
    </row>
    <row r="1464" customFormat="false" ht="13.35" hidden="false" customHeight="true" outlineLevel="0" collapsed="false">
      <c r="A1464" s="5" t="str">
        <f aca="false">HYPERLINK("https://www.fabsurplus.com/sdi_catalog/salesItemDetails.do?id=102970")</f>
        <v>https://www.fabsurplus.com/sdi_catalog/salesItemDetails.do?id=102970</v>
      </c>
      <c r="B1464" s="5" t="s">
        <v>4010</v>
      </c>
      <c r="C1464" s="5" t="s">
        <v>4011</v>
      </c>
      <c r="D1464" s="5" t="s">
        <v>4012</v>
      </c>
      <c r="E1464" s="5" t="s">
        <v>2691</v>
      </c>
      <c r="F1464" s="5" t="s">
        <v>16</v>
      </c>
      <c r="G1464" s="5" t="s">
        <v>499</v>
      </c>
      <c r="H1464" s="5"/>
      <c r="I1464" s="6" t="n">
        <v>36495</v>
      </c>
      <c r="J1464" s="5" t="s">
        <v>19</v>
      </c>
      <c r="K1464" s="5"/>
      <c r="L1464" s="5"/>
    </row>
    <row r="1465" customFormat="false" ht="13.35" hidden="false" customHeight="true" outlineLevel="0" collapsed="false">
      <c r="A1465" s="5" t="str">
        <f aca="false">HYPERLINK("https://www.fabsurplus.com/sdi_catalog/salesItemDetails.do?id=102994")</f>
        <v>https://www.fabsurplus.com/sdi_catalog/salesItemDetails.do?id=102994</v>
      </c>
      <c r="B1465" s="5" t="s">
        <v>4013</v>
      </c>
      <c r="C1465" s="5" t="s">
        <v>4014</v>
      </c>
      <c r="D1465" s="5" t="s">
        <v>4015</v>
      </c>
      <c r="E1465" s="5" t="s">
        <v>4016</v>
      </c>
      <c r="F1465" s="5" t="s">
        <v>16</v>
      </c>
      <c r="G1465" s="5"/>
      <c r="H1465" s="5" t="s">
        <v>26</v>
      </c>
      <c r="I1465" s="6" t="n">
        <v>41913</v>
      </c>
      <c r="J1465" s="5" t="s">
        <v>19</v>
      </c>
      <c r="K1465" s="5"/>
      <c r="L1465" s="5" t="s">
        <v>2254</v>
      </c>
    </row>
    <row r="1466" customFormat="false" ht="13.35" hidden="false" customHeight="true" outlineLevel="0" collapsed="false">
      <c r="A1466" s="2" t="str">
        <f aca="false">HYPERLINK("https://www.fabsurplus.com/sdi_catalog/salesItemDetails.do?id=97865")</f>
        <v>https://www.fabsurplus.com/sdi_catalog/salesItemDetails.do?id=97865</v>
      </c>
      <c r="B1466" s="2" t="s">
        <v>4017</v>
      </c>
      <c r="C1466" s="2" t="s">
        <v>4018</v>
      </c>
      <c r="D1466" s="2" t="s">
        <v>4019</v>
      </c>
      <c r="E1466" s="2" t="s">
        <v>4020</v>
      </c>
      <c r="F1466" s="2" t="s">
        <v>16</v>
      </c>
      <c r="G1466" s="2"/>
      <c r="H1466" s="2"/>
      <c r="I1466" s="2"/>
      <c r="J1466" s="2" t="s">
        <v>19</v>
      </c>
      <c r="K1466" s="2"/>
      <c r="L1466" s="2"/>
    </row>
    <row r="1467" customFormat="false" ht="13.35" hidden="false" customHeight="true" outlineLevel="0" collapsed="false">
      <c r="A1467" s="5" t="str">
        <f aca="false">HYPERLINK("https://www.fabsurplus.com/sdi_catalog/salesItemDetails.do?id=88032")</f>
        <v>https://www.fabsurplus.com/sdi_catalog/salesItemDetails.do?id=88032</v>
      </c>
      <c r="B1467" s="5" t="s">
        <v>4021</v>
      </c>
      <c r="C1467" s="5" t="s">
        <v>4022</v>
      </c>
      <c r="D1467" s="5" t="s">
        <v>4023</v>
      </c>
      <c r="E1467" s="5" t="s">
        <v>87</v>
      </c>
      <c r="F1467" s="5" t="s">
        <v>16</v>
      </c>
      <c r="G1467" s="5" t="s">
        <v>88</v>
      </c>
      <c r="H1467" s="5"/>
      <c r="I1467" s="5"/>
      <c r="J1467" s="5" t="s">
        <v>19</v>
      </c>
      <c r="K1467" s="5"/>
      <c r="L1467" s="5" t="s">
        <v>89</v>
      </c>
    </row>
    <row r="1468" customFormat="false" ht="13.35" hidden="false" customHeight="true" outlineLevel="0" collapsed="false">
      <c r="A1468" s="5" t="str">
        <f aca="false">HYPERLINK("https://www.fabsurplus.com/sdi_catalog/salesItemDetails.do?id=103035")</f>
        <v>https://www.fabsurplus.com/sdi_catalog/salesItemDetails.do?id=103035</v>
      </c>
      <c r="B1468" s="5" t="s">
        <v>4024</v>
      </c>
      <c r="C1468" s="5" t="s">
        <v>4025</v>
      </c>
      <c r="D1468" s="5" t="s">
        <v>4026</v>
      </c>
      <c r="E1468" s="5" t="s">
        <v>4026</v>
      </c>
      <c r="F1468" s="5" t="s">
        <v>16</v>
      </c>
      <c r="G1468" s="5" t="s">
        <v>154</v>
      </c>
      <c r="H1468" s="5"/>
      <c r="I1468" s="5"/>
      <c r="J1468" s="5" t="s">
        <v>19</v>
      </c>
      <c r="K1468" s="5"/>
      <c r="L1468" s="7" t="s">
        <v>4027</v>
      </c>
    </row>
    <row r="1469" customFormat="false" ht="13.35" hidden="false" customHeight="true" outlineLevel="0" collapsed="false">
      <c r="A1469" s="2" t="str">
        <f aca="false">HYPERLINK("https://www.fabsurplus.com/sdi_catalog/salesItemDetails.do?id=88033")</f>
        <v>https://www.fabsurplus.com/sdi_catalog/salesItemDetails.do?id=88033</v>
      </c>
      <c r="B1469" s="2" t="s">
        <v>4028</v>
      </c>
      <c r="C1469" s="2" t="s">
        <v>4029</v>
      </c>
      <c r="D1469" s="2" t="s">
        <v>4030</v>
      </c>
      <c r="E1469" s="2" t="s">
        <v>87</v>
      </c>
      <c r="F1469" s="2" t="s">
        <v>16</v>
      </c>
      <c r="G1469" s="2" t="s">
        <v>88</v>
      </c>
      <c r="H1469" s="2"/>
      <c r="I1469" s="2"/>
      <c r="J1469" s="2" t="s">
        <v>19</v>
      </c>
      <c r="K1469" s="2"/>
      <c r="L1469" s="2" t="s">
        <v>89</v>
      </c>
    </row>
    <row r="1470" customFormat="false" ht="13.35" hidden="false" customHeight="true" outlineLevel="0" collapsed="false">
      <c r="A1470" s="5" t="str">
        <f aca="false">HYPERLINK("https://www.fabsurplus.com/sdi_catalog/salesItemDetails.do?id=88034")</f>
        <v>https://www.fabsurplus.com/sdi_catalog/salesItemDetails.do?id=88034</v>
      </c>
      <c r="B1470" s="5" t="s">
        <v>4031</v>
      </c>
      <c r="C1470" s="5" t="s">
        <v>4029</v>
      </c>
      <c r="D1470" s="5" t="s">
        <v>4032</v>
      </c>
      <c r="E1470" s="5" t="s">
        <v>87</v>
      </c>
      <c r="F1470" s="5" t="s">
        <v>125</v>
      </c>
      <c r="G1470" s="5" t="s">
        <v>88</v>
      </c>
      <c r="H1470" s="5"/>
      <c r="I1470" s="5"/>
      <c r="J1470" s="5" t="s">
        <v>19</v>
      </c>
      <c r="K1470" s="5"/>
      <c r="L1470" s="5" t="s">
        <v>89</v>
      </c>
    </row>
    <row r="1471" customFormat="false" ht="13.35" hidden="false" customHeight="true" outlineLevel="0" collapsed="false">
      <c r="A1471" s="2" t="str">
        <f aca="false">HYPERLINK("https://www.fabsurplus.com/sdi_catalog/salesItemDetails.do?id=88035")</f>
        <v>https://www.fabsurplus.com/sdi_catalog/salesItemDetails.do?id=88035</v>
      </c>
      <c r="B1471" s="2" t="s">
        <v>4033</v>
      </c>
      <c r="C1471" s="2" t="s">
        <v>4029</v>
      </c>
      <c r="D1471" s="2" t="s">
        <v>4034</v>
      </c>
      <c r="E1471" s="2" t="s">
        <v>87</v>
      </c>
      <c r="F1471" s="2" t="s">
        <v>344</v>
      </c>
      <c r="G1471" s="2" t="s">
        <v>88</v>
      </c>
      <c r="H1471" s="2"/>
      <c r="I1471" s="2"/>
      <c r="J1471" s="2" t="s">
        <v>19</v>
      </c>
      <c r="K1471" s="2"/>
      <c r="L1471" s="2" t="s">
        <v>89</v>
      </c>
    </row>
    <row r="1472" customFormat="false" ht="13.35" hidden="false" customHeight="true" outlineLevel="0" collapsed="false">
      <c r="A1472" s="5" t="str">
        <f aca="false">HYPERLINK("https://www.fabsurplus.com/sdi_catalog/salesItemDetails.do?id=88036")</f>
        <v>https://www.fabsurplus.com/sdi_catalog/salesItemDetails.do?id=88036</v>
      </c>
      <c r="B1472" s="5" t="s">
        <v>4035</v>
      </c>
      <c r="C1472" s="5" t="s">
        <v>4029</v>
      </c>
      <c r="D1472" s="5" t="s">
        <v>4036</v>
      </c>
      <c r="E1472" s="5" t="s">
        <v>87</v>
      </c>
      <c r="F1472" s="5" t="s">
        <v>16</v>
      </c>
      <c r="G1472" s="5" t="s">
        <v>88</v>
      </c>
      <c r="H1472" s="5"/>
      <c r="I1472" s="5"/>
      <c r="J1472" s="5" t="s">
        <v>19</v>
      </c>
      <c r="K1472" s="5"/>
      <c r="L1472" s="5" t="s">
        <v>89</v>
      </c>
    </row>
    <row r="1473" customFormat="false" ht="13.35" hidden="false" customHeight="true" outlineLevel="0" collapsed="false">
      <c r="A1473" s="2" t="str">
        <f aca="false">HYPERLINK("https://www.fabsurplus.com/sdi_catalog/salesItemDetails.do?id=88037")</f>
        <v>https://www.fabsurplus.com/sdi_catalog/salesItemDetails.do?id=88037</v>
      </c>
      <c r="B1473" s="2" t="s">
        <v>4037</v>
      </c>
      <c r="C1473" s="2" t="s">
        <v>4029</v>
      </c>
      <c r="D1473" s="2" t="s">
        <v>4038</v>
      </c>
      <c r="E1473" s="2" t="s">
        <v>87</v>
      </c>
      <c r="F1473" s="2" t="s">
        <v>2667</v>
      </c>
      <c r="G1473" s="2" t="s">
        <v>88</v>
      </c>
      <c r="H1473" s="2"/>
      <c r="I1473" s="2"/>
      <c r="J1473" s="2" t="s">
        <v>19</v>
      </c>
      <c r="K1473" s="2"/>
      <c r="L1473" s="2" t="s">
        <v>89</v>
      </c>
    </row>
    <row r="1474" customFormat="false" ht="13.35" hidden="false" customHeight="true" outlineLevel="0" collapsed="false">
      <c r="A1474" s="5" t="str">
        <f aca="false">HYPERLINK("https://www.fabsurplus.com/sdi_catalog/salesItemDetails.do?id=87538")</f>
        <v>https://www.fabsurplus.com/sdi_catalog/salesItemDetails.do?id=87538</v>
      </c>
      <c r="B1474" s="5" t="s">
        <v>4039</v>
      </c>
      <c r="C1474" s="5" t="s">
        <v>4040</v>
      </c>
      <c r="D1474" s="5" t="s">
        <v>4041</v>
      </c>
      <c r="E1474" s="5" t="s">
        <v>4042</v>
      </c>
      <c r="F1474" s="5" t="s">
        <v>16</v>
      </c>
      <c r="G1474" s="5" t="s">
        <v>1807</v>
      </c>
      <c r="H1474" s="5" t="s">
        <v>18</v>
      </c>
      <c r="I1474" s="5"/>
      <c r="J1474" s="5" t="s">
        <v>19</v>
      </c>
      <c r="K1474" s="5" t="s">
        <v>20</v>
      </c>
      <c r="L1474" s="7" t="s">
        <v>4043</v>
      </c>
    </row>
    <row r="1475" customFormat="false" ht="13.35" hidden="false" customHeight="true" outlineLevel="0" collapsed="false">
      <c r="A1475" s="5" t="str">
        <f aca="false">HYPERLINK("https://www.fabsurplus.com/sdi_catalog/salesItemDetails.do?id=88038")</f>
        <v>https://www.fabsurplus.com/sdi_catalog/salesItemDetails.do?id=88038</v>
      </c>
      <c r="B1475" s="5" t="s">
        <v>4044</v>
      </c>
      <c r="C1475" s="5" t="s">
        <v>4045</v>
      </c>
      <c r="D1475" s="5" t="s">
        <v>4046</v>
      </c>
      <c r="E1475" s="5" t="s">
        <v>87</v>
      </c>
      <c r="F1475" s="5" t="s">
        <v>16</v>
      </c>
      <c r="G1475" s="5" t="s">
        <v>88</v>
      </c>
      <c r="H1475" s="5"/>
      <c r="I1475" s="5"/>
      <c r="J1475" s="5" t="s">
        <v>19</v>
      </c>
      <c r="K1475" s="5"/>
      <c r="L1475" s="5" t="s">
        <v>89</v>
      </c>
    </row>
    <row r="1476" customFormat="false" ht="13.35" hidden="false" customHeight="true" outlineLevel="0" collapsed="false">
      <c r="A1476" s="2" t="str">
        <f aca="false">HYPERLINK("https://www.fabsurplus.com/sdi_catalog/salesItemDetails.do?id=88039")</f>
        <v>https://www.fabsurplus.com/sdi_catalog/salesItemDetails.do?id=88039</v>
      </c>
      <c r="B1476" s="2" t="s">
        <v>4047</v>
      </c>
      <c r="C1476" s="2" t="s">
        <v>4045</v>
      </c>
      <c r="D1476" s="2" t="s">
        <v>4048</v>
      </c>
      <c r="E1476" s="2" t="s">
        <v>87</v>
      </c>
      <c r="F1476" s="2" t="s">
        <v>16</v>
      </c>
      <c r="G1476" s="2" t="s">
        <v>88</v>
      </c>
      <c r="H1476" s="2"/>
      <c r="I1476" s="2"/>
      <c r="J1476" s="2" t="s">
        <v>19</v>
      </c>
      <c r="K1476" s="2"/>
      <c r="L1476" s="2" t="s">
        <v>89</v>
      </c>
    </row>
    <row r="1477" customFormat="false" ht="13.35" hidden="false" customHeight="true" outlineLevel="0" collapsed="false">
      <c r="A1477" s="5" t="str">
        <f aca="false">HYPERLINK("https://www.fabsurplus.com/sdi_catalog/salesItemDetails.do?id=88040")</f>
        <v>https://www.fabsurplus.com/sdi_catalog/salesItemDetails.do?id=88040</v>
      </c>
      <c r="B1477" s="5" t="s">
        <v>4049</v>
      </c>
      <c r="C1477" s="5" t="s">
        <v>4045</v>
      </c>
      <c r="D1477" s="5" t="s">
        <v>4050</v>
      </c>
      <c r="E1477" s="5" t="s">
        <v>87</v>
      </c>
      <c r="F1477" s="5" t="s">
        <v>16</v>
      </c>
      <c r="G1477" s="5" t="s">
        <v>88</v>
      </c>
      <c r="H1477" s="5"/>
      <c r="I1477" s="5"/>
      <c r="J1477" s="5" t="s">
        <v>19</v>
      </c>
      <c r="K1477" s="5"/>
      <c r="L1477" s="5" t="s">
        <v>89</v>
      </c>
    </row>
    <row r="1478" customFormat="false" ht="13.35" hidden="false" customHeight="true" outlineLevel="0" collapsed="false">
      <c r="A1478" s="2" t="str">
        <f aca="false">HYPERLINK("https://www.fabsurplus.com/sdi_catalog/salesItemDetails.do?id=88041")</f>
        <v>https://www.fabsurplus.com/sdi_catalog/salesItemDetails.do?id=88041</v>
      </c>
      <c r="B1478" s="2" t="s">
        <v>4051</v>
      </c>
      <c r="C1478" s="2" t="s">
        <v>4045</v>
      </c>
      <c r="D1478" s="2" t="s">
        <v>4052</v>
      </c>
      <c r="E1478" s="2" t="s">
        <v>87</v>
      </c>
      <c r="F1478" s="2" t="s">
        <v>16</v>
      </c>
      <c r="G1478" s="2" t="s">
        <v>88</v>
      </c>
      <c r="H1478" s="2"/>
      <c r="I1478" s="2"/>
      <c r="J1478" s="2" t="s">
        <v>19</v>
      </c>
      <c r="K1478" s="2"/>
      <c r="L1478" s="2" t="s">
        <v>89</v>
      </c>
    </row>
    <row r="1479" customFormat="false" ht="13.35" hidden="false" customHeight="true" outlineLevel="0" collapsed="false">
      <c r="A1479" s="5" t="str">
        <f aca="false">HYPERLINK("https://www.fabsurplus.com/sdi_catalog/salesItemDetails.do?id=88042")</f>
        <v>https://www.fabsurplus.com/sdi_catalog/salesItemDetails.do?id=88042</v>
      </c>
      <c r="B1479" s="5" t="s">
        <v>4053</v>
      </c>
      <c r="C1479" s="5" t="s">
        <v>4045</v>
      </c>
      <c r="D1479" s="5" t="s">
        <v>4054</v>
      </c>
      <c r="E1479" s="5" t="s">
        <v>87</v>
      </c>
      <c r="F1479" s="5" t="s">
        <v>125</v>
      </c>
      <c r="G1479" s="5" t="s">
        <v>88</v>
      </c>
      <c r="H1479" s="5"/>
      <c r="I1479" s="5"/>
      <c r="J1479" s="5" t="s">
        <v>19</v>
      </c>
      <c r="K1479" s="5"/>
      <c r="L1479" s="5" t="s">
        <v>89</v>
      </c>
    </row>
    <row r="1480" customFormat="false" ht="13.35" hidden="false" customHeight="true" outlineLevel="0" collapsed="false">
      <c r="A1480" s="2" t="str">
        <f aca="false">HYPERLINK("https://www.fabsurplus.com/sdi_catalog/salesItemDetails.do?id=88043")</f>
        <v>https://www.fabsurplus.com/sdi_catalog/salesItemDetails.do?id=88043</v>
      </c>
      <c r="B1480" s="2" t="s">
        <v>4055</v>
      </c>
      <c r="C1480" s="2" t="s">
        <v>4045</v>
      </c>
      <c r="D1480" s="2" t="s">
        <v>4056</v>
      </c>
      <c r="E1480" s="2" t="s">
        <v>87</v>
      </c>
      <c r="F1480" s="2" t="s">
        <v>16</v>
      </c>
      <c r="G1480" s="2" t="s">
        <v>88</v>
      </c>
      <c r="H1480" s="2"/>
      <c r="I1480" s="2"/>
      <c r="J1480" s="2" t="s">
        <v>19</v>
      </c>
      <c r="K1480" s="2"/>
      <c r="L1480" s="2" t="s">
        <v>89</v>
      </c>
    </row>
    <row r="1481" customFormat="false" ht="13.35" hidden="false" customHeight="true" outlineLevel="0" collapsed="false">
      <c r="A1481" s="5" t="str">
        <f aca="false">HYPERLINK("https://www.fabsurplus.com/sdi_catalog/salesItemDetails.do?id=88044")</f>
        <v>https://www.fabsurplus.com/sdi_catalog/salesItemDetails.do?id=88044</v>
      </c>
      <c r="B1481" s="5" t="s">
        <v>4057</v>
      </c>
      <c r="C1481" s="5" t="s">
        <v>4045</v>
      </c>
      <c r="D1481" s="5" t="s">
        <v>4058</v>
      </c>
      <c r="E1481" s="5" t="s">
        <v>87</v>
      </c>
      <c r="F1481" s="5" t="s">
        <v>16</v>
      </c>
      <c r="G1481" s="5" t="s">
        <v>88</v>
      </c>
      <c r="H1481" s="5"/>
      <c r="I1481" s="5"/>
      <c r="J1481" s="5" t="s">
        <v>19</v>
      </c>
      <c r="K1481" s="5"/>
      <c r="L1481" s="5" t="s">
        <v>89</v>
      </c>
    </row>
    <row r="1482" customFormat="false" ht="13.35" hidden="false" customHeight="true" outlineLevel="0" collapsed="false">
      <c r="A1482" s="2" t="str">
        <f aca="false">HYPERLINK("https://www.fabsurplus.com/sdi_catalog/salesItemDetails.do?id=88045")</f>
        <v>https://www.fabsurplus.com/sdi_catalog/salesItemDetails.do?id=88045</v>
      </c>
      <c r="B1482" s="2" t="s">
        <v>4059</v>
      </c>
      <c r="C1482" s="2" t="s">
        <v>4045</v>
      </c>
      <c r="D1482" s="2" t="s">
        <v>4060</v>
      </c>
      <c r="E1482" s="2" t="s">
        <v>87</v>
      </c>
      <c r="F1482" s="2" t="s">
        <v>16</v>
      </c>
      <c r="G1482" s="2" t="s">
        <v>88</v>
      </c>
      <c r="H1482" s="2"/>
      <c r="I1482" s="2"/>
      <c r="J1482" s="2" t="s">
        <v>19</v>
      </c>
      <c r="K1482" s="2"/>
      <c r="L1482" s="2" t="s">
        <v>89</v>
      </c>
    </row>
    <row r="1483" customFormat="false" ht="13.35" hidden="false" customHeight="true" outlineLevel="0" collapsed="false">
      <c r="A1483" s="5" t="str">
        <f aca="false">HYPERLINK("https://www.fabsurplus.com/sdi_catalog/salesItemDetails.do?id=88046")</f>
        <v>https://www.fabsurplus.com/sdi_catalog/salesItemDetails.do?id=88046</v>
      </c>
      <c r="B1483" s="5" t="s">
        <v>4061</v>
      </c>
      <c r="C1483" s="5" t="s">
        <v>4045</v>
      </c>
      <c r="D1483" s="5" t="s">
        <v>4062</v>
      </c>
      <c r="E1483" s="5" t="s">
        <v>87</v>
      </c>
      <c r="F1483" s="5" t="s">
        <v>16</v>
      </c>
      <c r="G1483" s="5" t="s">
        <v>88</v>
      </c>
      <c r="H1483" s="5"/>
      <c r="I1483" s="5"/>
      <c r="J1483" s="5" t="s">
        <v>19</v>
      </c>
      <c r="K1483" s="5"/>
      <c r="L1483" s="5" t="s">
        <v>89</v>
      </c>
    </row>
    <row r="1484" customFormat="false" ht="13.35" hidden="false" customHeight="true" outlineLevel="0" collapsed="false">
      <c r="A1484" s="2" t="str">
        <f aca="false">HYPERLINK("https://www.fabsurplus.com/sdi_catalog/salesItemDetails.do?id=88047")</f>
        <v>https://www.fabsurplus.com/sdi_catalog/salesItemDetails.do?id=88047</v>
      </c>
      <c r="B1484" s="2" t="s">
        <v>4063</v>
      </c>
      <c r="C1484" s="2" t="s">
        <v>4045</v>
      </c>
      <c r="D1484" s="2" t="s">
        <v>4064</v>
      </c>
      <c r="E1484" s="2" t="s">
        <v>87</v>
      </c>
      <c r="F1484" s="2" t="s">
        <v>16</v>
      </c>
      <c r="G1484" s="2" t="s">
        <v>88</v>
      </c>
      <c r="H1484" s="2"/>
      <c r="I1484" s="2"/>
      <c r="J1484" s="2" t="s">
        <v>19</v>
      </c>
      <c r="K1484" s="2"/>
      <c r="L1484" s="2" t="s">
        <v>89</v>
      </c>
    </row>
    <row r="1485" customFormat="false" ht="13.35" hidden="false" customHeight="true" outlineLevel="0" collapsed="false">
      <c r="A1485" s="5" t="str">
        <f aca="false">HYPERLINK("https://www.fabsurplus.com/sdi_catalog/salesItemDetails.do?id=88048")</f>
        <v>https://www.fabsurplus.com/sdi_catalog/salesItemDetails.do?id=88048</v>
      </c>
      <c r="B1485" s="5" t="s">
        <v>4065</v>
      </c>
      <c r="C1485" s="5" t="s">
        <v>4045</v>
      </c>
      <c r="D1485" s="5" t="s">
        <v>4066</v>
      </c>
      <c r="E1485" s="5" t="s">
        <v>87</v>
      </c>
      <c r="F1485" s="5" t="s">
        <v>16</v>
      </c>
      <c r="G1485" s="5" t="s">
        <v>88</v>
      </c>
      <c r="H1485" s="5"/>
      <c r="I1485" s="5"/>
      <c r="J1485" s="5" t="s">
        <v>19</v>
      </c>
      <c r="K1485" s="5"/>
      <c r="L1485" s="5" t="s">
        <v>89</v>
      </c>
    </row>
    <row r="1486" customFormat="false" ht="13.35" hidden="false" customHeight="true" outlineLevel="0" collapsed="false">
      <c r="A1486" s="5" t="str">
        <f aca="false">HYPERLINK("https://www.fabsurplus.com/sdi_catalog/salesItemDetails.do?id=102285")</f>
        <v>https://www.fabsurplus.com/sdi_catalog/salesItemDetails.do?id=102285</v>
      </c>
      <c r="B1486" s="5" t="s">
        <v>4067</v>
      </c>
      <c r="C1486" s="5" t="s">
        <v>4068</v>
      </c>
      <c r="D1486" s="5" t="s">
        <v>4069</v>
      </c>
      <c r="E1486" s="5" t="s">
        <v>4070</v>
      </c>
      <c r="F1486" s="5" t="s">
        <v>16</v>
      </c>
      <c r="G1486" s="5" t="s">
        <v>17</v>
      </c>
      <c r="H1486" s="5"/>
      <c r="I1486" s="5"/>
      <c r="J1486" s="5" t="s">
        <v>19</v>
      </c>
      <c r="K1486" s="5"/>
      <c r="L1486" s="5"/>
    </row>
    <row r="1487" customFormat="false" ht="13.35" hidden="false" customHeight="true" outlineLevel="0" collapsed="false">
      <c r="A1487" s="2" t="str">
        <f aca="false">HYPERLINK("https://www.fabsurplus.com/sdi_catalog/salesItemDetails.do?id=102286")</f>
        <v>https://www.fabsurplus.com/sdi_catalog/salesItemDetails.do?id=102286</v>
      </c>
      <c r="B1487" s="2" t="s">
        <v>4071</v>
      </c>
      <c r="C1487" s="2" t="s">
        <v>4068</v>
      </c>
      <c r="D1487" s="2" t="s">
        <v>4069</v>
      </c>
      <c r="E1487" s="2" t="s">
        <v>4070</v>
      </c>
      <c r="F1487" s="2" t="s">
        <v>16</v>
      </c>
      <c r="G1487" s="2" t="s">
        <v>17</v>
      </c>
      <c r="H1487" s="2"/>
      <c r="I1487" s="2"/>
      <c r="J1487" s="2" t="s">
        <v>19</v>
      </c>
      <c r="K1487" s="2"/>
      <c r="L1487" s="2"/>
    </row>
    <row r="1488" customFormat="false" ht="13.35" hidden="false" customHeight="true" outlineLevel="0" collapsed="false">
      <c r="A1488" s="5" t="str">
        <f aca="false">HYPERLINK("https://www.fabsurplus.com/sdi_catalog/salesItemDetails.do?id=103102")</f>
        <v>https://www.fabsurplus.com/sdi_catalog/salesItemDetails.do?id=103102</v>
      </c>
      <c r="B1488" s="5" t="s">
        <v>4072</v>
      </c>
      <c r="C1488" s="5" t="s">
        <v>4073</v>
      </c>
      <c r="D1488" s="5" t="s">
        <v>4074</v>
      </c>
      <c r="E1488" s="5" t="s">
        <v>1167</v>
      </c>
      <c r="F1488" s="5" t="s">
        <v>16</v>
      </c>
      <c r="G1488" s="5" t="s">
        <v>658</v>
      </c>
      <c r="H1488" s="5"/>
      <c r="I1488" s="5"/>
      <c r="J1488" s="5" t="s">
        <v>19</v>
      </c>
      <c r="K1488" s="5"/>
      <c r="L1488" s="5" t="s">
        <v>4075</v>
      </c>
    </row>
    <row r="1489" customFormat="false" ht="13.35" hidden="false" customHeight="true" outlineLevel="0" collapsed="false">
      <c r="A1489" s="2" t="str">
        <f aca="false">HYPERLINK("https://www.fabsurplus.com/sdi_catalog/salesItemDetails.do?id=103103")</f>
        <v>https://www.fabsurplus.com/sdi_catalog/salesItemDetails.do?id=103103</v>
      </c>
      <c r="B1489" s="2" t="s">
        <v>4076</v>
      </c>
      <c r="C1489" s="2" t="s">
        <v>4073</v>
      </c>
      <c r="D1489" s="2" t="s">
        <v>4074</v>
      </c>
      <c r="E1489" s="2" t="s">
        <v>1167</v>
      </c>
      <c r="F1489" s="2" t="s">
        <v>16</v>
      </c>
      <c r="G1489" s="2" t="s">
        <v>658</v>
      </c>
      <c r="H1489" s="2"/>
      <c r="I1489" s="2"/>
      <c r="J1489" s="2" t="s">
        <v>19</v>
      </c>
      <c r="K1489" s="2"/>
      <c r="L1489" s="2" t="s">
        <v>4077</v>
      </c>
    </row>
    <row r="1490" customFormat="false" ht="13.35" hidden="false" customHeight="true" outlineLevel="0" collapsed="false">
      <c r="A1490" s="2" t="str">
        <f aca="false">HYPERLINK("https://www.fabsurplus.com/sdi_catalog/salesItemDetails.do?id=91318")</f>
        <v>https://www.fabsurplus.com/sdi_catalog/salesItemDetails.do?id=91318</v>
      </c>
      <c r="B1490" s="2" t="s">
        <v>4078</v>
      </c>
      <c r="C1490" s="2" t="s">
        <v>4073</v>
      </c>
      <c r="D1490" s="2" t="s">
        <v>4079</v>
      </c>
      <c r="E1490" s="2" t="s">
        <v>4080</v>
      </c>
      <c r="F1490" s="2" t="s">
        <v>16</v>
      </c>
      <c r="G1490" s="2" t="s">
        <v>17</v>
      </c>
      <c r="H1490" s="2"/>
      <c r="I1490" s="3" t="n">
        <v>38139</v>
      </c>
      <c r="J1490" s="2" t="s">
        <v>19</v>
      </c>
      <c r="K1490" s="2"/>
      <c r="L1490" s="2" t="s">
        <v>112</v>
      </c>
    </row>
    <row r="1491" customFormat="false" ht="13.35" hidden="false" customHeight="true" outlineLevel="0" collapsed="false">
      <c r="A1491" s="5" t="str">
        <f aca="false">HYPERLINK("https://www.fabsurplus.com/sdi_catalog/salesItemDetails.do?id=102735")</f>
        <v>https://www.fabsurplus.com/sdi_catalog/salesItemDetails.do?id=102735</v>
      </c>
      <c r="B1491" s="5" t="s">
        <v>4081</v>
      </c>
      <c r="C1491" s="5" t="s">
        <v>4073</v>
      </c>
      <c r="D1491" s="5" t="s">
        <v>4082</v>
      </c>
      <c r="E1491" s="5" t="s">
        <v>4083</v>
      </c>
      <c r="F1491" s="5" t="s">
        <v>16</v>
      </c>
      <c r="G1491" s="5" t="s">
        <v>17</v>
      </c>
      <c r="H1491" s="5"/>
      <c r="I1491" s="5"/>
      <c r="J1491" s="5" t="s">
        <v>19</v>
      </c>
      <c r="K1491" s="5"/>
      <c r="L1491" s="5"/>
    </row>
    <row r="1492" customFormat="false" ht="13.35" hidden="false" customHeight="true" outlineLevel="0" collapsed="false">
      <c r="A1492" s="5" t="str">
        <f aca="false">HYPERLINK("https://www.fabsurplus.com/sdi_catalog/salesItemDetails.do?id=102736")</f>
        <v>https://www.fabsurplus.com/sdi_catalog/salesItemDetails.do?id=102736</v>
      </c>
      <c r="B1492" s="5" t="s">
        <v>4084</v>
      </c>
      <c r="C1492" s="5" t="s">
        <v>4073</v>
      </c>
      <c r="D1492" s="5" t="s">
        <v>4082</v>
      </c>
      <c r="E1492" s="5" t="s">
        <v>4083</v>
      </c>
      <c r="F1492" s="5" t="s">
        <v>16</v>
      </c>
      <c r="G1492" s="5" t="s">
        <v>17</v>
      </c>
      <c r="H1492" s="5"/>
      <c r="I1492" s="5"/>
      <c r="J1492" s="5" t="s">
        <v>19</v>
      </c>
      <c r="K1492" s="5"/>
      <c r="L1492" s="5"/>
    </row>
    <row r="1493" customFormat="false" ht="13.35" hidden="false" customHeight="true" outlineLevel="0" collapsed="false">
      <c r="A1493" s="2" t="str">
        <f aca="false">HYPERLINK("https://www.fabsurplus.com/sdi_catalog/salesItemDetails.do?id=102287")</f>
        <v>https://www.fabsurplus.com/sdi_catalog/salesItemDetails.do?id=102287</v>
      </c>
      <c r="B1493" s="2" t="s">
        <v>4085</v>
      </c>
      <c r="C1493" s="2" t="s">
        <v>4068</v>
      </c>
      <c r="D1493" s="2" t="s">
        <v>4082</v>
      </c>
      <c r="E1493" s="2" t="s">
        <v>896</v>
      </c>
      <c r="F1493" s="2" t="s">
        <v>16</v>
      </c>
      <c r="G1493" s="2" t="s">
        <v>17</v>
      </c>
      <c r="H1493" s="2"/>
      <c r="I1493" s="3" t="n">
        <v>38139</v>
      </c>
      <c r="J1493" s="2" t="s">
        <v>19</v>
      </c>
      <c r="K1493" s="2"/>
      <c r="L1493" s="2"/>
    </row>
    <row r="1494" customFormat="false" ht="13.35" hidden="false" customHeight="true" outlineLevel="0" collapsed="false">
      <c r="A1494" s="2" t="str">
        <f aca="false">HYPERLINK("https://www.fabsurplus.com/sdi_catalog/salesItemDetails.do?id=102737")</f>
        <v>https://www.fabsurplus.com/sdi_catalog/salesItemDetails.do?id=102737</v>
      </c>
      <c r="B1494" s="2" t="s">
        <v>4086</v>
      </c>
      <c r="C1494" s="2" t="s">
        <v>4073</v>
      </c>
      <c r="D1494" s="2" t="s">
        <v>4087</v>
      </c>
      <c r="E1494" s="2" t="s">
        <v>4088</v>
      </c>
      <c r="F1494" s="2" t="s">
        <v>58</v>
      </c>
      <c r="G1494" s="2" t="s">
        <v>17</v>
      </c>
      <c r="H1494" s="2"/>
      <c r="I1494" s="2"/>
      <c r="J1494" s="2" t="s">
        <v>19</v>
      </c>
      <c r="K1494" s="2"/>
      <c r="L1494" s="4" t="s">
        <v>4089</v>
      </c>
    </row>
    <row r="1495" customFormat="false" ht="13.35" hidden="false" customHeight="true" outlineLevel="0" collapsed="false">
      <c r="A1495" s="5" t="str">
        <f aca="false">HYPERLINK("https://www.fabsurplus.com/sdi_catalog/salesItemDetails.do?id=103104")</f>
        <v>https://www.fabsurplus.com/sdi_catalog/salesItemDetails.do?id=103104</v>
      </c>
      <c r="B1495" s="5" t="s">
        <v>4090</v>
      </c>
      <c r="C1495" s="5" t="s">
        <v>4073</v>
      </c>
      <c r="D1495" s="5" t="s">
        <v>4091</v>
      </c>
      <c r="E1495" s="5" t="s">
        <v>1167</v>
      </c>
      <c r="F1495" s="5" t="s">
        <v>16</v>
      </c>
      <c r="G1495" s="5" t="s">
        <v>658</v>
      </c>
      <c r="H1495" s="5"/>
      <c r="I1495" s="5"/>
      <c r="J1495" s="5" t="s">
        <v>19</v>
      </c>
      <c r="K1495" s="5"/>
      <c r="L1495" s="5" t="s">
        <v>4092</v>
      </c>
    </row>
    <row r="1496" customFormat="false" ht="13.35" hidden="false" customHeight="true" outlineLevel="0" collapsed="false">
      <c r="A1496" s="5" t="str">
        <f aca="false">HYPERLINK("https://www.fabsurplus.com/sdi_catalog/salesItemDetails.do?id=103105")</f>
        <v>https://www.fabsurplus.com/sdi_catalog/salesItemDetails.do?id=103105</v>
      </c>
      <c r="B1496" s="5" t="s">
        <v>4093</v>
      </c>
      <c r="C1496" s="5" t="s">
        <v>4073</v>
      </c>
      <c r="D1496" s="5" t="s">
        <v>4091</v>
      </c>
      <c r="E1496" s="5" t="s">
        <v>1167</v>
      </c>
      <c r="F1496" s="5" t="s">
        <v>16</v>
      </c>
      <c r="G1496" s="5" t="s">
        <v>658</v>
      </c>
      <c r="H1496" s="5"/>
      <c r="I1496" s="5"/>
      <c r="J1496" s="5" t="s">
        <v>19</v>
      </c>
      <c r="K1496" s="5"/>
      <c r="L1496" s="5" t="s">
        <v>4094</v>
      </c>
    </row>
    <row r="1497" customFormat="false" ht="13.35" hidden="false" customHeight="true" outlineLevel="0" collapsed="false">
      <c r="A1497" s="2" t="str">
        <f aca="false">HYPERLINK("https://www.fabsurplus.com/sdi_catalog/salesItemDetails.do?id=91319")</f>
        <v>https://www.fabsurplus.com/sdi_catalog/salesItemDetails.do?id=91319</v>
      </c>
      <c r="B1497" s="2" t="s">
        <v>4095</v>
      </c>
      <c r="C1497" s="2" t="s">
        <v>4073</v>
      </c>
      <c r="D1497" s="2" t="s">
        <v>4096</v>
      </c>
      <c r="E1497" s="2" t="s">
        <v>4080</v>
      </c>
      <c r="F1497" s="2" t="s">
        <v>16</v>
      </c>
      <c r="G1497" s="2" t="s">
        <v>17</v>
      </c>
      <c r="H1497" s="2"/>
      <c r="I1497" s="3" t="n">
        <v>37773</v>
      </c>
      <c r="J1497" s="2" t="s">
        <v>19</v>
      </c>
      <c r="K1497" s="2"/>
      <c r="L1497" s="2" t="s">
        <v>112</v>
      </c>
    </row>
    <row r="1498" customFormat="false" ht="13.35" hidden="false" customHeight="true" outlineLevel="0" collapsed="false">
      <c r="A1498" s="5" t="str">
        <f aca="false">HYPERLINK("https://www.fabsurplus.com/sdi_catalog/salesItemDetails.do?id=97004")</f>
        <v>https://www.fabsurplus.com/sdi_catalog/salesItemDetails.do?id=97004</v>
      </c>
      <c r="B1498" s="5" t="s">
        <v>4097</v>
      </c>
      <c r="C1498" s="5" t="s">
        <v>4098</v>
      </c>
      <c r="D1498" s="5" t="s">
        <v>4099</v>
      </c>
      <c r="E1498" s="5" t="s">
        <v>4100</v>
      </c>
      <c r="F1498" s="5" t="s">
        <v>16</v>
      </c>
      <c r="G1498" s="5" t="s">
        <v>17</v>
      </c>
      <c r="H1498" s="5" t="s">
        <v>592</v>
      </c>
      <c r="I1498" s="6" t="n">
        <v>38869</v>
      </c>
      <c r="J1498" s="5" t="s">
        <v>19</v>
      </c>
      <c r="K1498" s="5" t="s">
        <v>20</v>
      </c>
      <c r="L1498" s="7" t="s">
        <v>209</v>
      </c>
    </row>
    <row r="1499" customFormat="false" ht="13.35" hidden="false" customHeight="true" outlineLevel="0" collapsed="false">
      <c r="A1499" s="2" t="str">
        <f aca="false">HYPERLINK("https://www.fabsurplus.com/sdi_catalog/salesItemDetails.do?id=98276")</f>
        <v>https://www.fabsurplus.com/sdi_catalog/salesItemDetails.do?id=98276</v>
      </c>
      <c r="B1499" s="2" t="s">
        <v>4101</v>
      </c>
      <c r="C1499" s="2" t="s">
        <v>4073</v>
      </c>
      <c r="D1499" s="2" t="s">
        <v>4102</v>
      </c>
      <c r="E1499" s="2" t="s">
        <v>4103</v>
      </c>
      <c r="F1499" s="2" t="s">
        <v>16</v>
      </c>
      <c r="G1499" s="2" t="s">
        <v>17</v>
      </c>
      <c r="H1499" s="2"/>
      <c r="I1499" s="3" t="n">
        <v>43252</v>
      </c>
      <c r="J1499" s="2" t="s">
        <v>19</v>
      </c>
      <c r="K1499" s="2"/>
      <c r="L1499" s="2"/>
    </row>
    <row r="1500" customFormat="false" ht="13.35" hidden="false" customHeight="true" outlineLevel="0" collapsed="false">
      <c r="A1500" s="2" t="str">
        <f aca="false">HYPERLINK("https://www.fabsurplus.com/sdi_catalog/salesItemDetails.do?id=98277")</f>
        <v>https://www.fabsurplus.com/sdi_catalog/salesItemDetails.do?id=98277</v>
      </c>
      <c r="B1500" s="2" t="s">
        <v>4104</v>
      </c>
      <c r="C1500" s="2" t="s">
        <v>4073</v>
      </c>
      <c r="D1500" s="2" t="s">
        <v>4102</v>
      </c>
      <c r="E1500" s="2" t="s">
        <v>4103</v>
      </c>
      <c r="F1500" s="2" t="s">
        <v>16</v>
      </c>
      <c r="G1500" s="2" t="s">
        <v>17</v>
      </c>
      <c r="H1500" s="2"/>
      <c r="I1500" s="3" t="n">
        <v>41061</v>
      </c>
      <c r="J1500" s="2" t="s">
        <v>19</v>
      </c>
      <c r="K1500" s="2"/>
      <c r="L1500" s="2"/>
    </row>
    <row r="1501" customFormat="false" ht="13.35" hidden="false" customHeight="true" outlineLevel="0" collapsed="false">
      <c r="A1501" s="2" t="str">
        <f aca="false">HYPERLINK("https://www.fabsurplus.com/sdi_catalog/salesItemDetails.do?id=98278")</f>
        <v>https://www.fabsurplus.com/sdi_catalog/salesItemDetails.do?id=98278</v>
      </c>
      <c r="B1501" s="2" t="s">
        <v>4105</v>
      </c>
      <c r="C1501" s="2" t="s">
        <v>4073</v>
      </c>
      <c r="D1501" s="2" t="s">
        <v>4102</v>
      </c>
      <c r="E1501" s="2" t="s">
        <v>4103</v>
      </c>
      <c r="F1501" s="2" t="s">
        <v>16</v>
      </c>
      <c r="G1501" s="2" t="s">
        <v>17</v>
      </c>
      <c r="H1501" s="2"/>
      <c r="I1501" s="3" t="n">
        <v>43252</v>
      </c>
      <c r="J1501" s="2" t="s">
        <v>19</v>
      </c>
      <c r="K1501" s="2"/>
      <c r="L1501" s="2"/>
    </row>
    <row r="1502" customFormat="false" ht="13.35" hidden="false" customHeight="true" outlineLevel="0" collapsed="false">
      <c r="A1502" s="5" t="str">
        <f aca="false">HYPERLINK("https://www.fabsurplus.com/sdi_catalog/salesItemDetails.do?id=103106")</f>
        <v>https://www.fabsurplus.com/sdi_catalog/salesItemDetails.do?id=103106</v>
      </c>
      <c r="B1502" s="5" t="s">
        <v>4106</v>
      </c>
      <c r="C1502" s="5" t="s">
        <v>4073</v>
      </c>
      <c r="D1502" s="5" t="s">
        <v>4107</v>
      </c>
      <c r="E1502" s="5" t="s">
        <v>779</v>
      </c>
      <c r="F1502" s="5" t="s">
        <v>16</v>
      </c>
      <c r="G1502" s="5" t="s">
        <v>658</v>
      </c>
      <c r="H1502" s="5"/>
      <c r="I1502" s="6" t="n">
        <v>38869</v>
      </c>
      <c r="J1502" s="5" t="s">
        <v>19</v>
      </c>
      <c r="K1502" s="5"/>
      <c r="L1502" s="5" t="s">
        <v>4108</v>
      </c>
    </row>
    <row r="1503" customFormat="false" ht="13.35" hidden="false" customHeight="true" outlineLevel="0" collapsed="false">
      <c r="A1503" s="5" t="str">
        <f aca="false">HYPERLINK("https://www.fabsurplus.com/sdi_catalog/salesItemDetails.do?id=103107")</f>
        <v>https://www.fabsurplus.com/sdi_catalog/salesItemDetails.do?id=103107</v>
      </c>
      <c r="B1503" s="5" t="s">
        <v>4109</v>
      </c>
      <c r="C1503" s="5" t="s">
        <v>4073</v>
      </c>
      <c r="D1503" s="5" t="s">
        <v>4107</v>
      </c>
      <c r="E1503" s="5" t="s">
        <v>779</v>
      </c>
      <c r="F1503" s="5" t="s">
        <v>16</v>
      </c>
      <c r="G1503" s="5" t="s">
        <v>658</v>
      </c>
      <c r="H1503" s="5"/>
      <c r="I1503" s="6" t="n">
        <v>38869</v>
      </c>
      <c r="J1503" s="5" t="s">
        <v>19</v>
      </c>
      <c r="K1503" s="5"/>
      <c r="L1503" s="5" t="s">
        <v>4108</v>
      </c>
    </row>
    <row r="1504" customFormat="false" ht="13.35" hidden="false" customHeight="true" outlineLevel="0" collapsed="false">
      <c r="A1504" s="5" t="str">
        <f aca="false">HYPERLINK("https://www.fabsurplus.com/sdi_catalog/salesItemDetails.do?id=103108")</f>
        <v>https://www.fabsurplus.com/sdi_catalog/salesItemDetails.do?id=103108</v>
      </c>
      <c r="B1504" s="5" t="s">
        <v>4110</v>
      </c>
      <c r="C1504" s="5" t="s">
        <v>4073</v>
      </c>
      <c r="D1504" s="5" t="s">
        <v>4107</v>
      </c>
      <c r="E1504" s="5" t="s">
        <v>779</v>
      </c>
      <c r="F1504" s="5" t="s">
        <v>16</v>
      </c>
      <c r="G1504" s="5" t="s">
        <v>658</v>
      </c>
      <c r="H1504" s="5"/>
      <c r="I1504" s="6" t="n">
        <v>38869</v>
      </c>
      <c r="J1504" s="5" t="s">
        <v>19</v>
      </c>
      <c r="K1504" s="5"/>
      <c r="L1504" s="7" t="s">
        <v>4111</v>
      </c>
    </row>
    <row r="1505" customFormat="false" ht="13.35" hidden="false" customHeight="true" outlineLevel="0" collapsed="false">
      <c r="A1505" s="5" t="str">
        <f aca="false">HYPERLINK("https://www.fabsurplus.com/sdi_catalog/salesItemDetails.do?id=103109")</f>
        <v>https://www.fabsurplus.com/sdi_catalog/salesItemDetails.do?id=103109</v>
      </c>
      <c r="B1505" s="5" t="s">
        <v>4112</v>
      </c>
      <c r="C1505" s="5" t="s">
        <v>4073</v>
      </c>
      <c r="D1505" s="5" t="s">
        <v>4107</v>
      </c>
      <c r="E1505" s="5" t="s">
        <v>779</v>
      </c>
      <c r="F1505" s="5" t="s">
        <v>16</v>
      </c>
      <c r="G1505" s="5" t="s">
        <v>658</v>
      </c>
      <c r="H1505" s="5"/>
      <c r="I1505" s="6" t="n">
        <v>38869</v>
      </c>
      <c r="J1505" s="5" t="s">
        <v>19</v>
      </c>
      <c r="K1505" s="5"/>
      <c r="L1505" s="5" t="s">
        <v>3178</v>
      </c>
    </row>
    <row r="1506" customFormat="false" ht="13.35" hidden="false" customHeight="true" outlineLevel="0" collapsed="false">
      <c r="A1506" s="5" t="str">
        <f aca="false">HYPERLINK("https://www.fabsurplus.com/sdi_catalog/salesItemDetails.do?id=101652")</f>
        <v>https://www.fabsurplus.com/sdi_catalog/salesItemDetails.do?id=101652</v>
      </c>
      <c r="B1506" s="5" t="s">
        <v>4113</v>
      </c>
      <c r="C1506" s="5" t="s">
        <v>4073</v>
      </c>
      <c r="D1506" s="5" t="s">
        <v>4114</v>
      </c>
      <c r="E1506" s="5" t="s">
        <v>4115</v>
      </c>
      <c r="F1506" s="5" t="s">
        <v>16</v>
      </c>
      <c r="G1506" s="5" t="s">
        <v>154</v>
      </c>
      <c r="H1506" s="5"/>
      <c r="I1506" s="5"/>
      <c r="J1506" s="5" t="s">
        <v>19</v>
      </c>
      <c r="K1506" s="5"/>
      <c r="L1506" s="5"/>
    </row>
    <row r="1507" customFormat="false" ht="13.35" hidden="false" customHeight="true" outlineLevel="0" collapsed="false">
      <c r="A1507" s="2" t="str">
        <f aca="false">HYPERLINK("https://www.fabsurplus.com/sdi_catalog/salesItemDetails.do?id=101653")</f>
        <v>https://www.fabsurplus.com/sdi_catalog/salesItemDetails.do?id=101653</v>
      </c>
      <c r="B1507" s="2" t="s">
        <v>4116</v>
      </c>
      <c r="C1507" s="2" t="s">
        <v>4073</v>
      </c>
      <c r="D1507" s="2" t="s">
        <v>4114</v>
      </c>
      <c r="E1507" s="2" t="s">
        <v>4115</v>
      </c>
      <c r="F1507" s="2" t="s">
        <v>16</v>
      </c>
      <c r="G1507" s="2" t="s">
        <v>154</v>
      </c>
      <c r="H1507" s="2"/>
      <c r="I1507" s="2"/>
      <c r="J1507" s="2" t="s">
        <v>19</v>
      </c>
      <c r="K1507" s="2"/>
      <c r="L1507" s="2"/>
    </row>
    <row r="1508" customFormat="false" ht="13.35" hidden="false" customHeight="true" outlineLevel="0" collapsed="false">
      <c r="A1508" s="5" t="str">
        <f aca="false">HYPERLINK("https://www.fabsurplus.com/sdi_catalog/salesItemDetails.do?id=101654")</f>
        <v>https://www.fabsurplus.com/sdi_catalog/salesItemDetails.do?id=101654</v>
      </c>
      <c r="B1508" s="5" t="s">
        <v>4117</v>
      </c>
      <c r="C1508" s="5" t="s">
        <v>4073</v>
      </c>
      <c r="D1508" s="5" t="s">
        <v>4118</v>
      </c>
      <c r="E1508" s="5" t="s">
        <v>4119</v>
      </c>
      <c r="F1508" s="5" t="s">
        <v>16</v>
      </c>
      <c r="G1508" s="5" t="s">
        <v>154</v>
      </c>
      <c r="H1508" s="5"/>
      <c r="I1508" s="5"/>
      <c r="J1508" s="5" t="s">
        <v>19</v>
      </c>
      <c r="K1508" s="5"/>
      <c r="L1508" s="5" t="s">
        <v>4120</v>
      </c>
    </row>
    <row r="1509" customFormat="false" ht="13.35" hidden="false" customHeight="true" outlineLevel="0" collapsed="false">
      <c r="A1509" s="5" t="str">
        <f aca="false">HYPERLINK("https://www.fabsurplus.com/sdi_catalog/salesItemDetails.do?id=101655")</f>
        <v>https://www.fabsurplus.com/sdi_catalog/salesItemDetails.do?id=101655</v>
      </c>
      <c r="B1509" s="5" t="s">
        <v>4121</v>
      </c>
      <c r="C1509" s="5" t="s">
        <v>4073</v>
      </c>
      <c r="D1509" s="5" t="s">
        <v>4122</v>
      </c>
      <c r="E1509" s="5" t="s">
        <v>4123</v>
      </c>
      <c r="F1509" s="5" t="s">
        <v>16</v>
      </c>
      <c r="G1509" s="5" t="s">
        <v>154</v>
      </c>
      <c r="H1509" s="5"/>
      <c r="I1509" s="5"/>
      <c r="J1509" s="5" t="s">
        <v>19</v>
      </c>
      <c r="K1509" s="5"/>
      <c r="L1509" s="5"/>
    </row>
    <row r="1510" customFormat="false" ht="13.35" hidden="false" customHeight="true" outlineLevel="0" collapsed="false">
      <c r="A1510" s="5" t="str">
        <f aca="false">HYPERLINK("https://www.fabsurplus.com/sdi_catalog/salesItemDetails.do?id=101656")</f>
        <v>https://www.fabsurplus.com/sdi_catalog/salesItemDetails.do?id=101656</v>
      </c>
      <c r="B1510" s="5" t="s">
        <v>4124</v>
      </c>
      <c r="C1510" s="5" t="s">
        <v>4073</v>
      </c>
      <c r="D1510" s="5" t="s">
        <v>4125</v>
      </c>
      <c r="E1510" s="5" t="s">
        <v>4126</v>
      </c>
      <c r="F1510" s="5" t="s">
        <v>16</v>
      </c>
      <c r="G1510" s="5" t="s">
        <v>154</v>
      </c>
      <c r="H1510" s="5"/>
      <c r="I1510" s="5"/>
      <c r="J1510" s="5" t="s">
        <v>19</v>
      </c>
      <c r="K1510" s="5"/>
      <c r="L1510" s="5" t="s">
        <v>4120</v>
      </c>
    </row>
    <row r="1511" customFormat="false" ht="13.35" hidden="false" customHeight="true" outlineLevel="0" collapsed="false">
      <c r="A1511" s="2" t="str">
        <f aca="false">HYPERLINK("https://www.fabsurplus.com/sdi_catalog/salesItemDetails.do?id=101657")</f>
        <v>https://www.fabsurplus.com/sdi_catalog/salesItemDetails.do?id=101657</v>
      </c>
      <c r="B1511" s="2" t="s">
        <v>4127</v>
      </c>
      <c r="C1511" s="2" t="s">
        <v>4073</v>
      </c>
      <c r="D1511" s="2" t="s">
        <v>4128</v>
      </c>
      <c r="E1511" s="2" t="s">
        <v>4129</v>
      </c>
      <c r="F1511" s="2" t="s">
        <v>16</v>
      </c>
      <c r="G1511" s="2" t="s">
        <v>154</v>
      </c>
      <c r="H1511" s="2"/>
      <c r="I1511" s="2"/>
      <c r="J1511" s="2" t="s">
        <v>19</v>
      </c>
      <c r="K1511" s="2"/>
      <c r="L1511" s="2"/>
    </row>
    <row r="1512" customFormat="false" ht="13.35" hidden="false" customHeight="true" outlineLevel="0" collapsed="false">
      <c r="A1512" s="5" t="str">
        <f aca="false">HYPERLINK("https://www.fabsurplus.com/sdi_catalog/salesItemDetails.do?id=101658")</f>
        <v>https://www.fabsurplus.com/sdi_catalog/salesItemDetails.do?id=101658</v>
      </c>
      <c r="B1512" s="5" t="s">
        <v>4130</v>
      </c>
      <c r="C1512" s="5" t="s">
        <v>4073</v>
      </c>
      <c r="D1512" s="5" t="s">
        <v>4131</v>
      </c>
      <c r="E1512" s="5" t="s">
        <v>4132</v>
      </c>
      <c r="F1512" s="5" t="s">
        <v>16</v>
      </c>
      <c r="G1512" s="5" t="s">
        <v>154</v>
      </c>
      <c r="H1512" s="5"/>
      <c r="I1512" s="5"/>
      <c r="J1512" s="5" t="s">
        <v>19</v>
      </c>
      <c r="K1512" s="5"/>
      <c r="L1512" s="5"/>
    </row>
    <row r="1513" customFormat="false" ht="13.35" hidden="false" customHeight="true" outlineLevel="0" collapsed="false">
      <c r="A1513" s="2" t="str">
        <f aca="false">HYPERLINK("https://www.fabsurplus.com/sdi_catalog/salesItemDetails.do?id=101659")</f>
        <v>https://www.fabsurplus.com/sdi_catalog/salesItemDetails.do?id=101659</v>
      </c>
      <c r="B1513" s="2" t="s">
        <v>4133</v>
      </c>
      <c r="C1513" s="2" t="s">
        <v>4073</v>
      </c>
      <c r="D1513" s="2" t="s">
        <v>4134</v>
      </c>
      <c r="E1513" s="2" t="s">
        <v>4135</v>
      </c>
      <c r="F1513" s="2" t="s">
        <v>16</v>
      </c>
      <c r="G1513" s="2" t="s">
        <v>154</v>
      </c>
      <c r="H1513" s="2"/>
      <c r="I1513" s="2"/>
      <c r="J1513" s="2" t="s">
        <v>19</v>
      </c>
      <c r="K1513" s="2"/>
      <c r="L1513" s="2"/>
    </row>
    <row r="1514" customFormat="false" ht="13.35" hidden="false" customHeight="true" outlineLevel="0" collapsed="false">
      <c r="A1514" s="5" t="str">
        <f aca="false">HYPERLINK("https://www.fabsurplus.com/sdi_catalog/salesItemDetails.do?id=101660")</f>
        <v>https://www.fabsurplus.com/sdi_catalog/salesItemDetails.do?id=101660</v>
      </c>
      <c r="B1514" s="5" t="s">
        <v>4136</v>
      </c>
      <c r="C1514" s="5" t="s">
        <v>4073</v>
      </c>
      <c r="D1514" s="5" t="s">
        <v>4137</v>
      </c>
      <c r="E1514" s="5" t="s">
        <v>4138</v>
      </c>
      <c r="F1514" s="5" t="s">
        <v>16</v>
      </c>
      <c r="G1514" s="5" t="s">
        <v>154</v>
      </c>
      <c r="H1514" s="5"/>
      <c r="I1514" s="5"/>
      <c r="J1514" s="5" t="s">
        <v>19</v>
      </c>
      <c r="K1514" s="5"/>
      <c r="L1514" s="5"/>
    </row>
    <row r="1515" customFormat="false" ht="13.35" hidden="false" customHeight="true" outlineLevel="0" collapsed="false">
      <c r="A1515" s="2" t="str">
        <f aca="false">HYPERLINK("https://www.fabsurplus.com/sdi_catalog/salesItemDetails.do?id=101661")</f>
        <v>https://www.fabsurplus.com/sdi_catalog/salesItemDetails.do?id=101661</v>
      </c>
      <c r="B1515" s="2" t="s">
        <v>4139</v>
      </c>
      <c r="C1515" s="2" t="s">
        <v>4073</v>
      </c>
      <c r="D1515" s="2" t="s">
        <v>4140</v>
      </c>
      <c r="E1515" s="2" t="s">
        <v>4141</v>
      </c>
      <c r="F1515" s="2" t="s">
        <v>16</v>
      </c>
      <c r="G1515" s="2" t="s">
        <v>154</v>
      </c>
      <c r="H1515" s="2"/>
      <c r="I1515" s="2"/>
      <c r="J1515" s="2" t="s">
        <v>19</v>
      </c>
      <c r="K1515" s="2"/>
      <c r="L1515" s="2"/>
    </row>
    <row r="1516" customFormat="false" ht="13.35" hidden="false" customHeight="true" outlineLevel="0" collapsed="false">
      <c r="A1516" s="5" t="str">
        <f aca="false">HYPERLINK("https://www.fabsurplus.com/sdi_catalog/salesItemDetails.do?id=101662")</f>
        <v>https://www.fabsurplus.com/sdi_catalog/salesItemDetails.do?id=101662</v>
      </c>
      <c r="B1516" s="5" t="s">
        <v>4142</v>
      </c>
      <c r="C1516" s="5" t="s">
        <v>4073</v>
      </c>
      <c r="D1516" s="5" t="s">
        <v>4143</v>
      </c>
      <c r="E1516" s="5" t="s">
        <v>4144</v>
      </c>
      <c r="F1516" s="5" t="s">
        <v>16</v>
      </c>
      <c r="G1516" s="5" t="s">
        <v>154</v>
      </c>
      <c r="H1516" s="5"/>
      <c r="I1516" s="5"/>
      <c r="J1516" s="5" t="s">
        <v>19</v>
      </c>
      <c r="K1516" s="5"/>
      <c r="L1516" s="5" t="s">
        <v>4145</v>
      </c>
    </row>
    <row r="1517" customFormat="false" ht="13.35" hidden="false" customHeight="true" outlineLevel="0" collapsed="false">
      <c r="A1517" s="2" t="str">
        <f aca="false">HYPERLINK("https://www.fabsurplus.com/sdi_catalog/salesItemDetails.do?id=101663")</f>
        <v>https://www.fabsurplus.com/sdi_catalog/salesItemDetails.do?id=101663</v>
      </c>
      <c r="B1517" s="2" t="s">
        <v>4146</v>
      </c>
      <c r="C1517" s="2" t="s">
        <v>4073</v>
      </c>
      <c r="D1517" s="2" t="s">
        <v>4064</v>
      </c>
      <c r="E1517" s="2" t="s">
        <v>4147</v>
      </c>
      <c r="F1517" s="2" t="s">
        <v>16</v>
      </c>
      <c r="G1517" s="2" t="s">
        <v>154</v>
      </c>
      <c r="H1517" s="2"/>
      <c r="I1517" s="2"/>
      <c r="J1517" s="2" t="s">
        <v>19</v>
      </c>
      <c r="K1517" s="2"/>
      <c r="L1517" s="2"/>
    </row>
    <row r="1518" customFormat="false" ht="13.35" hidden="false" customHeight="true" outlineLevel="0" collapsed="false">
      <c r="A1518" s="5" t="str">
        <f aca="false">HYPERLINK("https://www.fabsurplus.com/sdi_catalog/salesItemDetails.do?id=101664")</f>
        <v>https://www.fabsurplus.com/sdi_catalog/salesItemDetails.do?id=101664</v>
      </c>
      <c r="B1518" s="5" t="s">
        <v>4148</v>
      </c>
      <c r="C1518" s="5" t="s">
        <v>4073</v>
      </c>
      <c r="D1518" s="5" t="s">
        <v>4066</v>
      </c>
      <c r="E1518" s="5" t="s">
        <v>4149</v>
      </c>
      <c r="F1518" s="5" t="s">
        <v>16</v>
      </c>
      <c r="G1518" s="5" t="s">
        <v>154</v>
      </c>
      <c r="H1518" s="5"/>
      <c r="I1518" s="5"/>
      <c r="J1518" s="5" t="s">
        <v>19</v>
      </c>
      <c r="K1518" s="5"/>
      <c r="L1518" s="5"/>
    </row>
    <row r="1519" customFormat="false" ht="13.35" hidden="false" customHeight="true" outlineLevel="0" collapsed="false">
      <c r="A1519" s="2" t="str">
        <f aca="false">HYPERLINK("https://www.fabsurplus.com/sdi_catalog/salesItemDetails.do?id=100919")</f>
        <v>https://www.fabsurplus.com/sdi_catalog/salesItemDetails.do?id=100919</v>
      </c>
      <c r="B1519" s="2" t="s">
        <v>4150</v>
      </c>
      <c r="C1519" s="2" t="s">
        <v>4073</v>
      </c>
      <c r="D1519" s="2" t="s">
        <v>4151</v>
      </c>
      <c r="E1519" s="2" t="s">
        <v>1178</v>
      </c>
      <c r="F1519" s="2" t="s">
        <v>16</v>
      </c>
      <c r="G1519" s="2" t="s">
        <v>17</v>
      </c>
      <c r="H1519" s="2"/>
      <c r="I1519" s="3" t="n">
        <v>37043</v>
      </c>
      <c r="J1519" s="2" t="s">
        <v>19</v>
      </c>
      <c r="K1519" s="2"/>
      <c r="L1519" s="2" t="s">
        <v>618</v>
      </c>
    </row>
    <row r="1520" customFormat="false" ht="13.35" hidden="false" customHeight="true" outlineLevel="0" collapsed="false">
      <c r="A1520" s="5" t="str">
        <f aca="false">HYPERLINK("https://www.fabsurplus.com/sdi_catalog/salesItemDetails.do?id=100920")</f>
        <v>https://www.fabsurplus.com/sdi_catalog/salesItemDetails.do?id=100920</v>
      </c>
      <c r="B1520" s="5" t="s">
        <v>4152</v>
      </c>
      <c r="C1520" s="5" t="s">
        <v>4073</v>
      </c>
      <c r="D1520" s="5" t="s">
        <v>4151</v>
      </c>
      <c r="E1520" s="5" t="s">
        <v>1178</v>
      </c>
      <c r="F1520" s="5" t="s">
        <v>16</v>
      </c>
      <c r="G1520" s="5" t="s">
        <v>17</v>
      </c>
      <c r="H1520" s="5"/>
      <c r="I1520" s="6" t="n">
        <v>40330</v>
      </c>
      <c r="J1520" s="5" t="s">
        <v>19</v>
      </c>
      <c r="K1520" s="5"/>
      <c r="L1520" s="5" t="s">
        <v>618</v>
      </c>
    </row>
    <row r="1521" customFormat="false" ht="13.35" hidden="false" customHeight="true" outlineLevel="0" collapsed="false">
      <c r="A1521" s="2" t="str">
        <f aca="false">HYPERLINK("https://www.fabsurplus.com/sdi_catalog/salesItemDetails.do?id=100921")</f>
        <v>https://www.fabsurplus.com/sdi_catalog/salesItemDetails.do?id=100921</v>
      </c>
      <c r="B1521" s="2" t="s">
        <v>4153</v>
      </c>
      <c r="C1521" s="2" t="s">
        <v>4073</v>
      </c>
      <c r="D1521" s="2" t="s">
        <v>4154</v>
      </c>
      <c r="E1521" s="2" t="s">
        <v>1178</v>
      </c>
      <c r="F1521" s="2" t="s">
        <v>16</v>
      </c>
      <c r="G1521" s="2" t="s">
        <v>17</v>
      </c>
      <c r="H1521" s="2"/>
      <c r="I1521" s="3" t="n">
        <v>37773</v>
      </c>
      <c r="J1521" s="2" t="s">
        <v>19</v>
      </c>
      <c r="K1521" s="2"/>
      <c r="L1521" s="2" t="s">
        <v>618</v>
      </c>
    </row>
    <row r="1522" customFormat="false" ht="13.35" hidden="false" customHeight="true" outlineLevel="0" collapsed="false">
      <c r="A1522" s="2" t="str">
        <f aca="false">HYPERLINK("https://www.fabsurplus.com/sdi_catalog/salesItemDetails.do?id=102288")</f>
        <v>https://www.fabsurplus.com/sdi_catalog/salesItemDetails.do?id=102288</v>
      </c>
      <c r="B1522" s="2" t="s">
        <v>4155</v>
      </c>
      <c r="C1522" s="2" t="s">
        <v>4068</v>
      </c>
      <c r="D1522" s="2" t="s">
        <v>4156</v>
      </c>
      <c r="E1522" s="2" t="s">
        <v>4157</v>
      </c>
      <c r="F1522" s="2" t="s">
        <v>16</v>
      </c>
      <c r="G1522" s="2" t="s">
        <v>36</v>
      </c>
      <c r="H1522" s="2"/>
      <c r="I1522" s="3" t="n">
        <v>35582</v>
      </c>
      <c r="J1522" s="2" t="s">
        <v>19</v>
      </c>
      <c r="K1522" s="2"/>
      <c r="L1522" s="2"/>
    </row>
    <row r="1523" customFormat="false" ht="13.35" hidden="false" customHeight="true" outlineLevel="0" collapsed="false">
      <c r="A1523" s="2" t="str">
        <f aca="false">HYPERLINK("https://www.fabsurplus.com/sdi_catalog/salesItemDetails.do?id=91320")</f>
        <v>https://www.fabsurplus.com/sdi_catalog/salesItemDetails.do?id=91320</v>
      </c>
      <c r="B1523" s="2" t="s">
        <v>4158</v>
      </c>
      <c r="C1523" s="2" t="s">
        <v>4073</v>
      </c>
      <c r="D1523" s="2" t="s">
        <v>4159</v>
      </c>
      <c r="E1523" s="2" t="s">
        <v>4160</v>
      </c>
      <c r="F1523" s="2" t="s">
        <v>16</v>
      </c>
      <c r="G1523" s="2" t="s">
        <v>17</v>
      </c>
      <c r="H1523" s="2"/>
      <c r="I1523" s="2"/>
      <c r="J1523" s="2" t="s">
        <v>19</v>
      </c>
      <c r="K1523" s="2"/>
      <c r="L1523" s="2" t="s">
        <v>112</v>
      </c>
    </row>
    <row r="1524" customFormat="false" ht="13.35" hidden="false" customHeight="true" outlineLevel="0" collapsed="false">
      <c r="A1524" s="5" t="str">
        <f aca="false">HYPERLINK("https://www.fabsurplus.com/sdi_catalog/salesItemDetails.do?id=100922")</f>
        <v>https://www.fabsurplus.com/sdi_catalog/salesItemDetails.do?id=100922</v>
      </c>
      <c r="B1524" s="5" t="s">
        <v>4161</v>
      </c>
      <c r="C1524" s="5" t="s">
        <v>4073</v>
      </c>
      <c r="D1524" s="5" t="s">
        <v>4162</v>
      </c>
      <c r="E1524" s="5" t="s">
        <v>738</v>
      </c>
      <c r="F1524" s="5" t="s">
        <v>16</v>
      </c>
      <c r="G1524" s="5" t="s">
        <v>17</v>
      </c>
      <c r="H1524" s="5"/>
      <c r="I1524" s="6" t="n">
        <v>41426</v>
      </c>
      <c r="J1524" s="5" t="s">
        <v>19</v>
      </c>
      <c r="K1524" s="5"/>
      <c r="L1524" s="5" t="s">
        <v>618</v>
      </c>
    </row>
    <row r="1525" customFormat="false" ht="13.35" hidden="false" customHeight="true" outlineLevel="0" collapsed="false">
      <c r="A1525" s="2" t="str">
        <f aca="false">HYPERLINK("https://www.fabsurplus.com/sdi_catalog/salesItemDetails.do?id=98279")</f>
        <v>https://www.fabsurplus.com/sdi_catalog/salesItemDetails.do?id=98279</v>
      </c>
      <c r="B1525" s="2" t="s">
        <v>4163</v>
      </c>
      <c r="C1525" s="2" t="s">
        <v>4073</v>
      </c>
      <c r="D1525" s="2" t="s">
        <v>4164</v>
      </c>
      <c r="E1525" s="2" t="s">
        <v>4080</v>
      </c>
      <c r="F1525" s="2" t="s">
        <v>16</v>
      </c>
      <c r="G1525" s="2" t="s">
        <v>17</v>
      </c>
      <c r="H1525" s="2"/>
      <c r="I1525" s="3" t="n">
        <v>39600</v>
      </c>
      <c r="J1525" s="2" t="s">
        <v>19</v>
      </c>
      <c r="K1525" s="2"/>
      <c r="L1525" s="2"/>
    </row>
    <row r="1526" customFormat="false" ht="13.35" hidden="false" customHeight="true" outlineLevel="0" collapsed="false">
      <c r="A1526" s="2" t="str">
        <f aca="false">HYPERLINK("https://www.fabsurplus.com/sdi_catalog/salesItemDetails.do?id=98280")</f>
        <v>https://www.fabsurplus.com/sdi_catalog/salesItemDetails.do?id=98280</v>
      </c>
      <c r="B1526" s="2" t="s">
        <v>4165</v>
      </c>
      <c r="C1526" s="2" t="s">
        <v>4073</v>
      </c>
      <c r="D1526" s="2" t="s">
        <v>4164</v>
      </c>
      <c r="E1526" s="2" t="s">
        <v>4080</v>
      </c>
      <c r="F1526" s="2" t="s">
        <v>16</v>
      </c>
      <c r="G1526" s="2" t="s">
        <v>17</v>
      </c>
      <c r="H1526" s="2"/>
      <c r="I1526" s="3" t="n">
        <v>39600</v>
      </c>
      <c r="J1526" s="2" t="s">
        <v>19</v>
      </c>
      <c r="K1526" s="2"/>
      <c r="L1526" s="2"/>
    </row>
    <row r="1527" customFormat="false" ht="13.35" hidden="false" customHeight="true" outlineLevel="0" collapsed="false">
      <c r="A1527" s="5" t="str">
        <f aca="false">HYPERLINK("https://www.fabsurplus.com/sdi_catalog/salesItemDetails.do?id=91322")</f>
        <v>https://www.fabsurplus.com/sdi_catalog/salesItemDetails.do?id=91322</v>
      </c>
      <c r="B1527" s="5" t="s">
        <v>4166</v>
      </c>
      <c r="C1527" s="5" t="s">
        <v>4073</v>
      </c>
      <c r="D1527" s="5" t="s">
        <v>4167</v>
      </c>
      <c r="E1527" s="5" t="s">
        <v>4080</v>
      </c>
      <c r="F1527" s="5" t="s">
        <v>16</v>
      </c>
      <c r="G1527" s="5"/>
      <c r="H1527" s="5"/>
      <c r="I1527" s="5"/>
      <c r="J1527" s="5" t="s">
        <v>19</v>
      </c>
      <c r="K1527" s="5"/>
      <c r="L1527" s="5" t="s">
        <v>112</v>
      </c>
    </row>
    <row r="1528" customFormat="false" ht="13.35" hidden="false" customHeight="true" outlineLevel="0" collapsed="false">
      <c r="A1528" s="5" t="str">
        <f aca="false">HYPERLINK("https://www.fabsurplus.com/sdi_catalog/salesItemDetails.do?id=91323")</f>
        <v>https://www.fabsurplus.com/sdi_catalog/salesItemDetails.do?id=91323</v>
      </c>
      <c r="B1528" s="5" t="s">
        <v>4168</v>
      </c>
      <c r="C1528" s="5" t="s">
        <v>4073</v>
      </c>
      <c r="D1528" s="5" t="s">
        <v>4167</v>
      </c>
      <c r="E1528" s="5" t="s">
        <v>4080</v>
      </c>
      <c r="F1528" s="5" t="s">
        <v>16</v>
      </c>
      <c r="G1528" s="5"/>
      <c r="H1528" s="5"/>
      <c r="I1528" s="5"/>
      <c r="J1528" s="5" t="s">
        <v>19</v>
      </c>
      <c r="K1528" s="5"/>
      <c r="L1528" s="5" t="s">
        <v>112</v>
      </c>
    </row>
    <row r="1529" customFormat="false" ht="13.35" hidden="false" customHeight="true" outlineLevel="0" collapsed="false">
      <c r="A1529" s="5" t="str">
        <f aca="false">HYPERLINK("https://www.fabsurplus.com/sdi_catalog/salesItemDetails.do?id=91324")</f>
        <v>https://www.fabsurplus.com/sdi_catalog/salesItemDetails.do?id=91324</v>
      </c>
      <c r="B1529" s="5" t="s">
        <v>4169</v>
      </c>
      <c r="C1529" s="5" t="s">
        <v>4073</v>
      </c>
      <c r="D1529" s="5" t="s">
        <v>4167</v>
      </c>
      <c r="E1529" s="5" t="s">
        <v>4080</v>
      </c>
      <c r="F1529" s="5" t="s">
        <v>16</v>
      </c>
      <c r="G1529" s="5"/>
      <c r="H1529" s="5"/>
      <c r="I1529" s="5"/>
      <c r="J1529" s="5" t="s">
        <v>19</v>
      </c>
      <c r="K1529" s="5"/>
      <c r="L1529" s="5" t="s">
        <v>112</v>
      </c>
    </row>
    <row r="1530" customFormat="false" ht="13.35" hidden="false" customHeight="true" outlineLevel="0" collapsed="false">
      <c r="A1530" s="2" t="str">
        <f aca="false">HYPERLINK("https://www.fabsurplus.com/sdi_catalog/salesItemDetails.do?id=91325")</f>
        <v>https://www.fabsurplus.com/sdi_catalog/salesItemDetails.do?id=91325</v>
      </c>
      <c r="B1530" s="2" t="s">
        <v>4170</v>
      </c>
      <c r="C1530" s="2" t="s">
        <v>4073</v>
      </c>
      <c r="D1530" s="2" t="s">
        <v>4167</v>
      </c>
      <c r="E1530" s="2" t="s">
        <v>4080</v>
      </c>
      <c r="F1530" s="2" t="s">
        <v>16</v>
      </c>
      <c r="G1530" s="2"/>
      <c r="H1530" s="2"/>
      <c r="I1530" s="2"/>
      <c r="J1530" s="2" t="s">
        <v>19</v>
      </c>
      <c r="K1530" s="2"/>
      <c r="L1530" s="2" t="s">
        <v>112</v>
      </c>
    </row>
    <row r="1531" customFormat="false" ht="13.35" hidden="false" customHeight="true" outlineLevel="0" collapsed="false">
      <c r="A1531" s="5" t="str">
        <f aca="false">HYPERLINK("https://www.fabsurplus.com/sdi_catalog/salesItemDetails.do?id=91326")</f>
        <v>https://www.fabsurplus.com/sdi_catalog/salesItemDetails.do?id=91326</v>
      </c>
      <c r="B1531" s="5" t="s">
        <v>4171</v>
      </c>
      <c r="C1531" s="5" t="s">
        <v>4073</v>
      </c>
      <c r="D1531" s="5" t="s">
        <v>4172</v>
      </c>
      <c r="E1531" s="5" t="s">
        <v>4080</v>
      </c>
      <c r="F1531" s="5" t="s">
        <v>16</v>
      </c>
      <c r="G1531" s="5"/>
      <c r="H1531" s="5"/>
      <c r="I1531" s="5"/>
      <c r="J1531" s="5" t="s">
        <v>19</v>
      </c>
      <c r="K1531" s="5"/>
      <c r="L1531" s="5" t="s">
        <v>112</v>
      </c>
    </row>
    <row r="1532" customFormat="false" ht="13.35" hidden="false" customHeight="true" outlineLevel="0" collapsed="false">
      <c r="A1532" s="2" t="str">
        <f aca="false">HYPERLINK("https://www.fabsurplus.com/sdi_catalog/salesItemDetails.do?id=98473")</f>
        <v>https://www.fabsurplus.com/sdi_catalog/salesItemDetails.do?id=98473</v>
      </c>
      <c r="B1532" s="2" t="s">
        <v>4173</v>
      </c>
      <c r="C1532" s="2" t="s">
        <v>4073</v>
      </c>
      <c r="D1532" s="2" t="s">
        <v>4174</v>
      </c>
      <c r="E1532" s="2" t="s">
        <v>4175</v>
      </c>
      <c r="F1532" s="2" t="s">
        <v>58</v>
      </c>
      <c r="G1532" s="2" t="s">
        <v>36</v>
      </c>
      <c r="H1532" s="2" t="s">
        <v>26</v>
      </c>
      <c r="I1532" s="3" t="n">
        <v>35490</v>
      </c>
      <c r="J1532" s="2" t="s">
        <v>19</v>
      </c>
      <c r="K1532" s="2" t="s">
        <v>20</v>
      </c>
      <c r="L1532" s="4" t="s">
        <v>4176</v>
      </c>
    </row>
    <row r="1533" customFormat="false" ht="13.35" hidden="false" customHeight="true" outlineLevel="0" collapsed="false">
      <c r="A1533" s="2" t="str">
        <f aca="false">HYPERLINK("https://www.fabsurplus.com/sdi_catalog/salesItemDetails.do?id=94581")</f>
        <v>https://www.fabsurplus.com/sdi_catalog/salesItemDetails.do?id=94581</v>
      </c>
      <c r="B1533" s="2" t="s">
        <v>4177</v>
      </c>
      <c r="C1533" s="2" t="s">
        <v>4068</v>
      </c>
      <c r="D1533" s="2" t="s">
        <v>4178</v>
      </c>
      <c r="E1533" s="2" t="s">
        <v>785</v>
      </c>
      <c r="F1533" s="2" t="s">
        <v>16</v>
      </c>
      <c r="G1533" s="2" t="s">
        <v>862</v>
      </c>
      <c r="H1533" s="2" t="s">
        <v>18</v>
      </c>
      <c r="I1533" s="2"/>
      <c r="J1533" s="2" t="s">
        <v>19</v>
      </c>
      <c r="K1533" s="2" t="s">
        <v>20</v>
      </c>
      <c r="L1533" s="4" t="s">
        <v>4179</v>
      </c>
    </row>
    <row r="1534" customFormat="false" ht="13.35" hidden="false" customHeight="true" outlineLevel="0" collapsed="false">
      <c r="A1534" s="5" t="str">
        <f aca="false">HYPERLINK("https://www.fabsurplus.com/sdi_catalog/salesItemDetails.do?id=102749")</f>
        <v>https://www.fabsurplus.com/sdi_catalog/salesItemDetails.do?id=102749</v>
      </c>
      <c r="B1534" s="5" t="s">
        <v>4180</v>
      </c>
      <c r="C1534" s="5" t="s">
        <v>4073</v>
      </c>
      <c r="D1534" s="5" t="s">
        <v>4181</v>
      </c>
      <c r="E1534" s="5" t="s">
        <v>4182</v>
      </c>
      <c r="F1534" s="5" t="s">
        <v>16</v>
      </c>
      <c r="G1534" s="5" t="s">
        <v>862</v>
      </c>
      <c r="H1534" s="5"/>
      <c r="I1534" s="6" t="n">
        <v>36312</v>
      </c>
      <c r="J1534" s="5" t="s">
        <v>19</v>
      </c>
      <c r="K1534" s="5"/>
      <c r="L1534" s="7" t="s">
        <v>4183</v>
      </c>
    </row>
    <row r="1535" customFormat="false" ht="13.35" hidden="false" customHeight="true" outlineLevel="0" collapsed="false">
      <c r="A1535" s="2" t="str">
        <f aca="false">HYPERLINK("https://www.fabsurplus.com/sdi_catalog/salesItemDetails.do?id=93038")</f>
        <v>https://www.fabsurplus.com/sdi_catalog/salesItemDetails.do?id=93038</v>
      </c>
      <c r="B1535" s="2" t="s">
        <v>4184</v>
      </c>
      <c r="C1535" s="2" t="s">
        <v>4073</v>
      </c>
      <c r="D1535" s="2" t="s">
        <v>4185</v>
      </c>
      <c r="E1535" s="2" t="s">
        <v>896</v>
      </c>
      <c r="F1535" s="2" t="s">
        <v>16</v>
      </c>
      <c r="G1535" s="2" t="s">
        <v>1686</v>
      </c>
      <c r="H1535" s="2"/>
      <c r="I1535" s="2"/>
      <c r="J1535" s="2" t="s">
        <v>19</v>
      </c>
      <c r="K1535" s="2"/>
      <c r="L1535" s="2" t="s">
        <v>112</v>
      </c>
    </row>
    <row r="1536" customFormat="false" ht="13.35" hidden="false" customHeight="true" outlineLevel="0" collapsed="false">
      <c r="A1536" s="5" t="str">
        <f aca="false">HYPERLINK("https://www.fabsurplus.com/sdi_catalog/salesItemDetails.do?id=102491")</f>
        <v>https://www.fabsurplus.com/sdi_catalog/salesItemDetails.do?id=102491</v>
      </c>
      <c r="B1536" s="5" t="s">
        <v>4186</v>
      </c>
      <c r="C1536" s="5" t="s">
        <v>4068</v>
      </c>
      <c r="D1536" s="5" t="s">
        <v>1256</v>
      </c>
      <c r="E1536" s="5"/>
      <c r="F1536" s="5" t="s">
        <v>3208</v>
      </c>
      <c r="G1536" s="5" t="s">
        <v>154</v>
      </c>
      <c r="H1536" s="5" t="s">
        <v>592</v>
      </c>
      <c r="I1536" s="5"/>
      <c r="J1536" s="5" t="s">
        <v>47</v>
      </c>
      <c r="K1536" s="5" t="s">
        <v>20</v>
      </c>
      <c r="L1536" s="7" t="s">
        <v>4187</v>
      </c>
    </row>
    <row r="1537" customFormat="false" ht="13.35" hidden="false" customHeight="true" outlineLevel="0" collapsed="false">
      <c r="A1537" s="2" t="str">
        <f aca="false">HYPERLINK("https://www.fabsurplus.com/sdi_catalog/salesItemDetails.do?id=102492")</f>
        <v>https://www.fabsurplus.com/sdi_catalog/salesItemDetails.do?id=102492</v>
      </c>
      <c r="B1537" s="2" t="s">
        <v>4188</v>
      </c>
      <c r="C1537" s="2" t="s">
        <v>4068</v>
      </c>
      <c r="D1537" s="2" t="s">
        <v>1256</v>
      </c>
      <c r="E1537" s="2"/>
      <c r="F1537" s="2" t="s">
        <v>3208</v>
      </c>
      <c r="G1537" s="2" t="s">
        <v>154</v>
      </c>
      <c r="H1537" s="2" t="s">
        <v>592</v>
      </c>
      <c r="I1537" s="2"/>
      <c r="J1537" s="2" t="s">
        <v>47</v>
      </c>
      <c r="K1537" s="2" t="s">
        <v>20</v>
      </c>
      <c r="L1537" s="4" t="s">
        <v>4187</v>
      </c>
    </row>
    <row r="1538" customFormat="false" ht="13.35" hidden="false" customHeight="true" outlineLevel="0" collapsed="false">
      <c r="A1538" s="5" t="str">
        <f aca="false">HYPERLINK("https://www.fabsurplus.com/sdi_catalog/salesItemDetails.do?id=91328")</f>
        <v>https://www.fabsurplus.com/sdi_catalog/salesItemDetails.do?id=91328</v>
      </c>
      <c r="B1538" s="5" t="s">
        <v>4189</v>
      </c>
      <c r="C1538" s="5" t="s">
        <v>4073</v>
      </c>
      <c r="D1538" s="5" t="s">
        <v>4190</v>
      </c>
      <c r="E1538" s="5" t="s">
        <v>4191</v>
      </c>
      <c r="F1538" s="5" t="s">
        <v>16</v>
      </c>
      <c r="G1538" s="5" t="s">
        <v>17</v>
      </c>
      <c r="H1538" s="5"/>
      <c r="I1538" s="5"/>
      <c r="J1538" s="5" t="s">
        <v>19</v>
      </c>
      <c r="K1538" s="5"/>
      <c r="L1538" s="5" t="s">
        <v>112</v>
      </c>
    </row>
    <row r="1539" customFormat="false" ht="13.35" hidden="false" customHeight="true" outlineLevel="0" collapsed="false">
      <c r="A1539" s="5" t="str">
        <f aca="false">HYPERLINK("https://www.fabsurplus.com/sdi_catalog/salesItemDetails.do?id=102289")</f>
        <v>https://www.fabsurplus.com/sdi_catalog/salesItemDetails.do?id=102289</v>
      </c>
      <c r="B1539" s="5" t="s">
        <v>4192</v>
      </c>
      <c r="C1539" s="5" t="s">
        <v>4068</v>
      </c>
      <c r="D1539" s="5" t="s">
        <v>4193</v>
      </c>
      <c r="E1539" s="5" t="s">
        <v>4194</v>
      </c>
      <c r="F1539" s="5" t="s">
        <v>16</v>
      </c>
      <c r="G1539" s="5" t="s">
        <v>17</v>
      </c>
      <c r="H1539" s="5"/>
      <c r="I1539" s="6" t="n">
        <v>40330</v>
      </c>
      <c r="J1539" s="5" t="s">
        <v>19</v>
      </c>
      <c r="K1539" s="5"/>
      <c r="L1539" s="5"/>
    </row>
    <row r="1540" customFormat="false" ht="13.35" hidden="false" customHeight="true" outlineLevel="0" collapsed="false">
      <c r="A1540" s="5" t="str">
        <f aca="false">HYPERLINK("https://www.fabsurplus.com/sdi_catalog/salesItemDetails.do?id=102568")</f>
        <v>https://www.fabsurplus.com/sdi_catalog/salesItemDetails.do?id=102568</v>
      </c>
      <c r="B1540" s="5" t="s">
        <v>4195</v>
      </c>
      <c r="C1540" s="5" t="s">
        <v>4073</v>
      </c>
      <c r="D1540" s="5" t="s">
        <v>4196</v>
      </c>
      <c r="E1540" s="5" t="s">
        <v>738</v>
      </c>
      <c r="F1540" s="5" t="s">
        <v>125</v>
      </c>
      <c r="G1540" s="5"/>
      <c r="H1540" s="5"/>
      <c r="I1540" s="5"/>
      <c r="J1540" s="5" t="s">
        <v>47</v>
      </c>
      <c r="K1540" s="5"/>
      <c r="L1540" s="5"/>
    </row>
    <row r="1541" customFormat="false" ht="13.35" hidden="false" customHeight="true" outlineLevel="0" collapsed="false">
      <c r="A1541" s="5" t="str">
        <f aca="false">HYPERLINK("https://www.fabsurplus.com/sdi_catalog/salesItemDetails.do?id=102569")</f>
        <v>https://www.fabsurplus.com/sdi_catalog/salesItemDetails.do?id=102569</v>
      </c>
      <c r="B1541" s="5" t="s">
        <v>4197</v>
      </c>
      <c r="C1541" s="5" t="s">
        <v>4073</v>
      </c>
      <c r="D1541" s="5" t="s">
        <v>4198</v>
      </c>
      <c r="E1541" s="5" t="s">
        <v>738</v>
      </c>
      <c r="F1541" s="5" t="s">
        <v>125</v>
      </c>
      <c r="G1541" s="5"/>
      <c r="H1541" s="5"/>
      <c r="I1541" s="5"/>
      <c r="J1541" s="5" t="s">
        <v>47</v>
      </c>
      <c r="K1541" s="5"/>
      <c r="L1541" s="5"/>
    </row>
    <row r="1542" customFormat="false" ht="13.35" hidden="false" customHeight="true" outlineLevel="0" collapsed="false">
      <c r="A1542" s="5" t="str">
        <f aca="false">HYPERLINK("https://www.fabsurplus.com/sdi_catalog/salesItemDetails.do?id=98612")</f>
        <v>https://www.fabsurplus.com/sdi_catalog/salesItemDetails.do?id=98612</v>
      </c>
      <c r="B1542" s="5" t="s">
        <v>4199</v>
      </c>
      <c r="C1542" s="5" t="s">
        <v>4073</v>
      </c>
      <c r="D1542" s="5" t="s">
        <v>4200</v>
      </c>
      <c r="E1542" s="5" t="s">
        <v>829</v>
      </c>
      <c r="F1542" s="5" t="s">
        <v>16</v>
      </c>
      <c r="G1542" s="5" t="s">
        <v>17</v>
      </c>
      <c r="H1542" s="5"/>
      <c r="I1542" s="6" t="n">
        <v>39234</v>
      </c>
      <c r="J1542" s="5" t="s">
        <v>19</v>
      </c>
      <c r="K1542" s="5"/>
      <c r="L1542" s="7" t="s">
        <v>754</v>
      </c>
    </row>
    <row r="1543" customFormat="false" ht="13.35" hidden="false" customHeight="true" outlineLevel="0" collapsed="false">
      <c r="A1543" s="5" t="str">
        <f aca="false">HYPERLINK("https://www.fabsurplus.com/sdi_catalog/salesItemDetails.do?id=100037")</f>
        <v>https://www.fabsurplus.com/sdi_catalog/salesItemDetails.do?id=100037</v>
      </c>
      <c r="B1543" s="5" t="s">
        <v>4201</v>
      </c>
      <c r="C1543" s="5" t="s">
        <v>4073</v>
      </c>
      <c r="D1543" s="5" t="s">
        <v>4202</v>
      </c>
      <c r="E1543" s="5" t="s">
        <v>829</v>
      </c>
      <c r="F1543" s="5" t="s">
        <v>16</v>
      </c>
      <c r="G1543" s="5" t="s">
        <v>17</v>
      </c>
      <c r="H1543" s="5"/>
      <c r="I1543" s="6" t="n">
        <v>39234</v>
      </c>
      <c r="J1543" s="5" t="s">
        <v>19</v>
      </c>
      <c r="K1543" s="5"/>
      <c r="L1543" s="7" t="s">
        <v>439</v>
      </c>
    </row>
    <row r="1544" customFormat="false" ht="13.35" hidden="false" customHeight="true" outlineLevel="0" collapsed="false">
      <c r="A1544" s="5" t="str">
        <f aca="false">HYPERLINK("https://www.fabsurplus.com/sdi_catalog/salesItemDetails.do?id=91024")</f>
        <v>https://www.fabsurplus.com/sdi_catalog/salesItemDetails.do?id=91024</v>
      </c>
      <c r="B1544" s="5" t="s">
        <v>4203</v>
      </c>
      <c r="C1544" s="5" t="s">
        <v>4073</v>
      </c>
      <c r="D1544" s="5" t="s">
        <v>4202</v>
      </c>
      <c r="E1544" s="5" t="s">
        <v>4204</v>
      </c>
      <c r="F1544" s="5" t="s">
        <v>16</v>
      </c>
      <c r="G1544" s="5" t="s">
        <v>17</v>
      </c>
      <c r="H1544" s="5" t="s">
        <v>26</v>
      </c>
      <c r="I1544" s="6" t="n">
        <v>37773</v>
      </c>
      <c r="J1544" s="5" t="s">
        <v>19</v>
      </c>
      <c r="K1544" s="5" t="s">
        <v>20</v>
      </c>
      <c r="L1544" s="7" t="s">
        <v>4205</v>
      </c>
    </row>
    <row r="1545" customFormat="false" ht="13.35" hidden="false" customHeight="true" outlineLevel="0" collapsed="false">
      <c r="A1545" s="5" t="str">
        <f aca="false">HYPERLINK("https://www.fabsurplus.com/sdi_catalog/salesItemDetails.do?id=102607")</f>
        <v>https://www.fabsurplus.com/sdi_catalog/salesItemDetails.do?id=102607</v>
      </c>
      <c r="B1545" s="5" t="s">
        <v>4206</v>
      </c>
      <c r="C1545" s="5" t="s">
        <v>4207</v>
      </c>
      <c r="D1545" s="5" t="s">
        <v>4208</v>
      </c>
      <c r="E1545" s="5" t="s">
        <v>4209</v>
      </c>
      <c r="F1545" s="5" t="s">
        <v>16</v>
      </c>
      <c r="G1545" s="5" t="s">
        <v>862</v>
      </c>
      <c r="H1545" s="5" t="s">
        <v>26</v>
      </c>
      <c r="I1545" s="5"/>
      <c r="J1545" s="5" t="s">
        <v>19</v>
      </c>
      <c r="K1545" s="5" t="s">
        <v>20</v>
      </c>
      <c r="L1545" s="5"/>
    </row>
    <row r="1546" customFormat="false" ht="13.35" hidden="false" customHeight="true" outlineLevel="0" collapsed="false">
      <c r="A1546" s="5" t="str">
        <f aca="false">HYPERLINK("https://www.fabsurplus.com/sdi_catalog/salesItemDetails.do?id=101665")</f>
        <v>https://www.fabsurplus.com/sdi_catalog/salesItemDetails.do?id=101665</v>
      </c>
      <c r="B1546" s="5" t="s">
        <v>4210</v>
      </c>
      <c r="C1546" s="5" t="s">
        <v>4211</v>
      </c>
      <c r="D1546" s="5" t="s">
        <v>4212</v>
      </c>
      <c r="E1546" s="5" t="s">
        <v>4213</v>
      </c>
      <c r="F1546" s="5" t="s">
        <v>16</v>
      </c>
      <c r="G1546" s="5" t="s">
        <v>154</v>
      </c>
      <c r="H1546" s="5"/>
      <c r="I1546" s="5"/>
      <c r="J1546" s="5" t="s">
        <v>19</v>
      </c>
      <c r="K1546" s="5"/>
      <c r="L1546" s="5"/>
    </row>
    <row r="1547" customFormat="false" ht="13.35" hidden="false" customHeight="true" outlineLevel="0" collapsed="false">
      <c r="A1547" s="2" t="str">
        <f aca="false">HYPERLINK("https://www.fabsurplus.com/sdi_catalog/salesItemDetails.do?id=101666")</f>
        <v>https://www.fabsurplus.com/sdi_catalog/salesItemDetails.do?id=101666</v>
      </c>
      <c r="B1547" s="2" t="s">
        <v>4214</v>
      </c>
      <c r="C1547" s="2" t="s">
        <v>4211</v>
      </c>
      <c r="D1547" s="2" t="s">
        <v>4215</v>
      </c>
      <c r="E1547" s="2" t="s">
        <v>4216</v>
      </c>
      <c r="F1547" s="2" t="s">
        <v>16</v>
      </c>
      <c r="G1547" s="2" t="s">
        <v>154</v>
      </c>
      <c r="H1547" s="2"/>
      <c r="I1547" s="2"/>
      <c r="J1547" s="2" t="s">
        <v>19</v>
      </c>
      <c r="K1547" s="2"/>
      <c r="L1547" s="2"/>
    </row>
    <row r="1548" customFormat="false" ht="13.35" hidden="false" customHeight="true" outlineLevel="0" collapsed="false">
      <c r="A1548" s="5" t="str">
        <f aca="false">HYPERLINK("https://www.fabsurplus.com/sdi_catalog/salesItemDetails.do?id=94475")</f>
        <v>https://www.fabsurplus.com/sdi_catalog/salesItemDetails.do?id=94475</v>
      </c>
      <c r="B1548" s="5" t="s">
        <v>4217</v>
      </c>
      <c r="C1548" s="5" t="s">
        <v>4218</v>
      </c>
      <c r="D1548" s="5" t="s">
        <v>4219</v>
      </c>
      <c r="E1548" s="5" t="s">
        <v>4220</v>
      </c>
      <c r="F1548" s="5" t="s">
        <v>16</v>
      </c>
      <c r="G1548" s="5" t="s">
        <v>36</v>
      </c>
      <c r="H1548" s="5"/>
      <c r="I1548" s="6" t="n">
        <v>39600</v>
      </c>
      <c r="J1548" s="5" t="s">
        <v>19</v>
      </c>
      <c r="K1548" s="5"/>
      <c r="L1548" s="5"/>
    </row>
    <row r="1549" customFormat="false" ht="13.35" hidden="false" customHeight="true" outlineLevel="0" collapsed="false">
      <c r="A1549" s="2" t="str">
        <f aca="false">HYPERLINK("https://www.fabsurplus.com/sdi_catalog/salesItemDetails.do?id=100038")</f>
        <v>https://www.fabsurplus.com/sdi_catalog/salesItemDetails.do?id=100038</v>
      </c>
      <c r="B1549" s="2" t="s">
        <v>4221</v>
      </c>
      <c r="C1549" s="2" t="s">
        <v>4222</v>
      </c>
      <c r="D1549" s="2" t="s">
        <v>4223</v>
      </c>
      <c r="E1549" s="2" t="s">
        <v>4224</v>
      </c>
      <c r="F1549" s="2" t="s">
        <v>16</v>
      </c>
      <c r="G1549" s="2"/>
      <c r="H1549" s="2"/>
      <c r="I1549" s="3" t="n">
        <v>39234</v>
      </c>
      <c r="J1549" s="2" t="s">
        <v>19</v>
      </c>
      <c r="K1549" s="2"/>
      <c r="L1549" s="4" t="s">
        <v>439</v>
      </c>
    </row>
    <row r="1550" customFormat="false" ht="13.35" hidden="false" customHeight="true" outlineLevel="0" collapsed="false">
      <c r="A1550" s="5" t="str">
        <f aca="false">HYPERLINK("https://www.fabsurplus.com/sdi_catalog/salesItemDetails.do?id=102628")</f>
        <v>https://www.fabsurplus.com/sdi_catalog/salesItemDetails.do?id=102628</v>
      </c>
      <c r="B1550" s="5" t="s">
        <v>4225</v>
      </c>
      <c r="C1550" s="5" t="s">
        <v>4226</v>
      </c>
      <c r="D1550" s="5" t="s">
        <v>4227</v>
      </c>
      <c r="E1550" s="5" t="s">
        <v>4224</v>
      </c>
      <c r="F1550" s="5" t="s">
        <v>16</v>
      </c>
      <c r="G1550" s="5"/>
      <c r="H1550" s="5" t="s">
        <v>18</v>
      </c>
      <c r="I1550" s="5"/>
      <c r="J1550" s="5" t="s">
        <v>403</v>
      </c>
      <c r="K1550" s="5"/>
      <c r="L1550" s="5" t="s">
        <v>177</v>
      </c>
    </row>
    <row r="1551" customFormat="false" ht="13.35" hidden="false" customHeight="true" outlineLevel="0" collapsed="false">
      <c r="A1551" s="2" t="str">
        <f aca="false">HYPERLINK("https://www.fabsurplus.com/sdi_catalog/salesItemDetails.do?id=87539")</f>
        <v>https://www.fabsurplus.com/sdi_catalog/salesItemDetails.do?id=87539</v>
      </c>
      <c r="B1551" s="2" t="s">
        <v>4228</v>
      </c>
      <c r="C1551" s="2" t="s">
        <v>4229</v>
      </c>
      <c r="D1551" s="2" t="s">
        <v>4230</v>
      </c>
      <c r="E1551" s="2" t="s">
        <v>4231</v>
      </c>
      <c r="F1551" s="2" t="s">
        <v>16</v>
      </c>
      <c r="G1551" s="2" t="s">
        <v>493</v>
      </c>
      <c r="H1551" s="2" t="s">
        <v>18</v>
      </c>
      <c r="I1551" s="2"/>
      <c r="J1551" s="2" t="s">
        <v>19</v>
      </c>
      <c r="K1551" s="2" t="s">
        <v>20</v>
      </c>
      <c r="L1551" s="4" t="s">
        <v>4232</v>
      </c>
    </row>
    <row r="1552" customFormat="false" ht="13.35" hidden="false" customHeight="true" outlineLevel="0" collapsed="false">
      <c r="A1552" s="5" t="str">
        <f aca="false">HYPERLINK("https://www.fabsurplus.com/sdi_catalog/salesItemDetails.do?id=87540")</f>
        <v>https://www.fabsurplus.com/sdi_catalog/salesItemDetails.do?id=87540</v>
      </c>
      <c r="B1552" s="5" t="s">
        <v>4233</v>
      </c>
      <c r="C1552" s="5" t="s">
        <v>4229</v>
      </c>
      <c r="D1552" s="5" t="s">
        <v>4234</v>
      </c>
      <c r="E1552" s="5" t="s">
        <v>4235</v>
      </c>
      <c r="F1552" s="5" t="s">
        <v>16</v>
      </c>
      <c r="G1552" s="5" t="s">
        <v>402</v>
      </c>
      <c r="H1552" s="5" t="s">
        <v>18</v>
      </c>
      <c r="I1552" s="5"/>
      <c r="J1552" s="5" t="s">
        <v>19</v>
      </c>
      <c r="K1552" s="5" t="s">
        <v>20</v>
      </c>
      <c r="L1552" s="7" t="s">
        <v>4236</v>
      </c>
    </row>
    <row r="1553" customFormat="false" ht="13.35" hidden="false" customHeight="true" outlineLevel="0" collapsed="false">
      <c r="A1553" s="5" t="str">
        <f aca="false">HYPERLINK("https://www.fabsurplus.com/sdi_catalog/salesItemDetails.do?id=102971")</f>
        <v>https://www.fabsurplus.com/sdi_catalog/salesItemDetails.do?id=102971</v>
      </c>
      <c r="B1553" s="5" t="s">
        <v>4237</v>
      </c>
      <c r="C1553" s="5" t="s">
        <v>4238</v>
      </c>
      <c r="D1553" s="5" t="s">
        <v>4239</v>
      </c>
      <c r="E1553" s="5" t="s">
        <v>4240</v>
      </c>
      <c r="F1553" s="5" t="s">
        <v>16</v>
      </c>
      <c r="G1553" s="5" t="s">
        <v>1807</v>
      </c>
      <c r="H1553" s="5"/>
      <c r="I1553" s="6" t="n">
        <v>41061</v>
      </c>
      <c r="J1553" s="5" t="s">
        <v>19</v>
      </c>
      <c r="K1553" s="5"/>
      <c r="L1553" s="7" t="s">
        <v>4241</v>
      </c>
    </row>
    <row r="1554" customFormat="false" ht="13.35" hidden="false" customHeight="true" outlineLevel="0" collapsed="false">
      <c r="A1554" s="2" t="str">
        <f aca="false">HYPERLINK("https://www.fabsurplus.com/sdi_catalog/salesItemDetails.do?id=91486")</f>
        <v>https://www.fabsurplus.com/sdi_catalog/salesItemDetails.do?id=91486</v>
      </c>
      <c r="B1554" s="2" t="s">
        <v>4242</v>
      </c>
      <c r="C1554" s="2" t="s">
        <v>4238</v>
      </c>
      <c r="D1554" s="2" t="s">
        <v>4243</v>
      </c>
      <c r="E1554" s="2" t="s">
        <v>4244</v>
      </c>
      <c r="F1554" s="2" t="s">
        <v>16</v>
      </c>
      <c r="G1554" s="2"/>
      <c r="H1554" s="2"/>
      <c r="I1554" s="2"/>
      <c r="J1554" s="2" t="s">
        <v>19</v>
      </c>
      <c r="K1554" s="2"/>
      <c r="L1554" s="2" t="s">
        <v>112</v>
      </c>
    </row>
    <row r="1555" customFormat="false" ht="13.35" hidden="false" customHeight="true" outlineLevel="0" collapsed="false">
      <c r="A1555" s="2" t="str">
        <f aca="false">HYPERLINK("https://www.fabsurplus.com/sdi_catalog/salesItemDetails.do?id=103110")</f>
        <v>https://www.fabsurplus.com/sdi_catalog/salesItemDetails.do?id=103110</v>
      </c>
      <c r="B1555" s="2" t="s">
        <v>4245</v>
      </c>
      <c r="C1555" s="2" t="s">
        <v>4246</v>
      </c>
      <c r="D1555" s="2" t="s">
        <v>4247</v>
      </c>
      <c r="E1555" s="2" t="s">
        <v>4248</v>
      </c>
      <c r="F1555" s="2" t="s">
        <v>16</v>
      </c>
      <c r="G1555" s="2" t="s">
        <v>658</v>
      </c>
      <c r="H1555" s="2"/>
      <c r="I1555" s="2"/>
      <c r="J1555" s="2" t="s">
        <v>19</v>
      </c>
      <c r="K1555" s="2"/>
      <c r="L1555" s="2" t="s">
        <v>4249</v>
      </c>
    </row>
    <row r="1556" customFormat="false" ht="13.35" hidden="false" customHeight="true" outlineLevel="0" collapsed="false">
      <c r="A1556" s="5" t="str">
        <f aca="false">HYPERLINK("https://www.fabsurplus.com/sdi_catalog/salesItemDetails.do?id=84063")</f>
        <v>https://www.fabsurplus.com/sdi_catalog/salesItemDetails.do?id=84063</v>
      </c>
      <c r="B1556" s="5" t="s">
        <v>4250</v>
      </c>
      <c r="C1556" s="5" t="s">
        <v>4246</v>
      </c>
      <c r="D1556" s="5" t="s">
        <v>4251</v>
      </c>
      <c r="E1556" s="5" t="s">
        <v>1934</v>
      </c>
      <c r="F1556" s="5" t="s">
        <v>16</v>
      </c>
      <c r="G1556" s="5"/>
      <c r="H1556" s="5"/>
      <c r="I1556" s="5"/>
      <c r="J1556" s="5" t="s">
        <v>19</v>
      </c>
      <c r="K1556" s="5"/>
      <c r="L1556" s="5"/>
    </row>
    <row r="1557" customFormat="false" ht="13.35" hidden="false" customHeight="true" outlineLevel="0" collapsed="false">
      <c r="A1557" s="2" t="str">
        <f aca="false">HYPERLINK("https://www.fabsurplus.com/sdi_catalog/salesItemDetails.do?id=97106")</f>
        <v>https://www.fabsurplus.com/sdi_catalog/salesItemDetails.do?id=97106</v>
      </c>
      <c r="B1557" s="2" t="s">
        <v>4252</v>
      </c>
      <c r="C1557" s="2" t="s">
        <v>4246</v>
      </c>
      <c r="D1557" s="2" t="s">
        <v>4251</v>
      </c>
      <c r="E1557" s="2" t="s">
        <v>4253</v>
      </c>
      <c r="F1557" s="2" t="s">
        <v>16</v>
      </c>
      <c r="G1557" s="2"/>
      <c r="H1557" s="2"/>
      <c r="I1557" s="2"/>
      <c r="J1557" s="2" t="s">
        <v>19</v>
      </c>
      <c r="K1557" s="2"/>
      <c r="L1557" s="4" t="s">
        <v>4254</v>
      </c>
    </row>
    <row r="1558" customFormat="false" ht="13.35" hidden="false" customHeight="true" outlineLevel="0" collapsed="false">
      <c r="A1558" s="5" t="str">
        <f aca="false">HYPERLINK("https://www.fabsurplus.com/sdi_catalog/salesItemDetails.do?id=84065")</f>
        <v>https://www.fabsurplus.com/sdi_catalog/salesItemDetails.do?id=84065</v>
      </c>
      <c r="B1558" s="5" t="s">
        <v>4255</v>
      </c>
      <c r="C1558" s="5" t="s">
        <v>4246</v>
      </c>
      <c r="D1558" s="5" t="s">
        <v>4256</v>
      </c>
      <c r="E1558" s="5" t="s">
        <v>1934</v>
      </c>
      <c r="F1558" s="5" t="s">
        <v>16</v>
      </c>
      <c r="G1558" s="5"/>
      <c r="H1558" s="5"/>
      <c r="I1558" s="5"/>
      <c r="J1558" s="5" t="s">
        <v>19</v>
      </c>
      <c r="K1558" s="5"/>
      <c r="L1558" s="5"/>
    </row>
    <row r="1559" customFormat="false" ht="13.35" hidden="false" customHeight="true" outlineLevel="0" collapsed="false">
      <c r="A1559" s="2" t="str">
        <f aca="false">HYPERLINK("https://www.fabsurplus.com/sdi_catalog/salesItemDetails.do?id=84064")</f>
        <v>https://www.fabsurplus.com/sdi_catalog/salesItemDetails.do?id=84064</v>
      </c>
      <c r="B1559" s="2" t="s">
        <v>4257</v>
      </c>
      <c r="C1559" s="2" t="s">
        <v>4246</v>
      </c>
      <c r="D1559" s="2" t="s">
        <v>4258</v>
      </c>
      <c r="E1559" s="2" t="s">
        <v>1934</v>
      </c>
      <c r="F1559" s="2" t="s">
        <v>16</v>
      </c>
      <c r="G1559" s="2"/>
      <c r="H1559" s="2" t="s">
        <v>18</v>
      </c>
      <c r="I1559" s="2"/>
      <c r="J1559" s="2" t="s">
        <v>19</v>
      </c>
      <c r="K1559" s="2" t="s">
        <v>20</v>
      </c>
      <c r="L1559" s="4" t="s">
        <v>4259</v>
      </c>
    </row>
    <row r="1560" customFormat="false" ht="13.35" hidden="false" customHeight="true" outlineLevel="0" collapsed="false">
      <c r="A1560" s="5" t="str">
        <f aca="false">HYPERLINK("https://www.fabsurplus.com/sdi_catalog/salesItemDetails.do?id=96007")</f>
        <v>https://www.fabsurplus.com/sdi_catalog/salesItemDetails.do?id=96007</v>
      </c>
      <c r="B1560" s="5" t="s">
        <v>4260</v>
      </c>
      <c r="C1560" s="5" t="s">
        <v>4238</v>
      </c>
      <c r="D1560" s="5" t="s">
        <v>4261</v>
      </c>
      <c r="E1560" s="5" t="s">
        <v>4262</v>
      </c>
      <c r="F1560" s="5" t="s">
        <v>16</v>
      </c>
      <c r="G1560" s="5"/>
      <c r="H1560" s="5" t="s">
        <v>26</v>
      </c>
      <c r="I1560" s="6" t="n">
        <v>35217</v>
      </c>
      <c r="J1560" s="5" t="s">
        <v>19</v>
      </c>
      <c r="K1560" s="5" t="s">
        <v>20</v>
      </c>
      <c r="L1560" s="7" t="s">
        <v>4263</v>
      </c>
    </row>
    <row r="1561" customFormat="false" ht="13.35" hidden="false" customHeight="true" outlineLevel="0" collapsed="false">
      <c r="A1561" s="2" t="str">
        <f aca="false">HYPERLINK("https://www.fabsurplus.com/sdi_catalog/salesItemDetails.do?id=96008")</f>
        <v>https://www.fabsurplus.com/sdi_catalog/salesItemDetails.do?id=96008</v>
      </c>
      <c r="B1561" s="2" t="s">
        <v>4264</v>
      </c>
      <c r="C1561" s="2" t="s">
        <v>4238</v>
      </c>
      <c r="D1561" s="2" t="s">
        <v>4265</v>
      </c>
      <c r="E1561" s="2" t="s">
        <v>1934</v>
      </c>
      <c r="F1561" s="2" t="s">
        <v>16</v>
      </c>
      <c r="G1561" s="2"/>
      <c r="H1561" s="2"/>
      <c r="I1561" s="2"/>
      <c r="J1561" s="2" t="s">
        <v>19</v>
      </c>
      <c r="K1561" s="2"/>
      <c r="L1561" s="4" t="s">
        <v>209</v>
      </c>
    </row>
    <row r="1562" customFormat="false" ht="13.35" hidden="false" customHeight="true" outlineLevel="0" collapsed="false">
      <c r="A1562" s="5" t="str">
        <f aca="false">HYPERLINK("https://www.fabsurplus.com/sdi_catalog/salesItemDetails.do?id=99878")</f>
        <v>https://www.fabsurplus.com/sdi_catalog/salesItemDetails.do?id=99878</v>
      </c>
      <c r="B1562" s="5" t="s">
        <v>4266</v>
      </c>
      <c r="C1562" s="5" t="s">
        <v>4246</v>
      </c>
      <c r="D1562" s="5" t="s">
        <v>4267</v>
      </c>
      <c r="E1562" s="5" t="s">
        <v>4268</v>
      </c>
      <c r="F1562" s="5" t="s">
        <v>16</v>
      </c>
      <c r="G1562" s="5" t="s">
        <v>160</v>
      </c>
      <c r="H1562" s="5" t="s">
        <v>18</v>
      </c>
      <c r="I1562" s="5"/>
      <c r="J1562" s="5" t="s">
        <v>19</v>
      </c>
      <c r="K1562" s="5" t="s">
        <v>20</v>
      </c>
      <c r="L1562" s="7" t="s">
        <v>4269</v>
      </c>
    </row>
    <row r="1563" customFormat="false" ht="13.35" hidden="false" customHeight="true" outlineLevel="0" collapsed="false">
      <c r="A1563" s="5" t="str">
        <f aca="false">HYPERLINK("https://www.fabsurplus.com/sdi_catalog/salesItemDetails.do?id=97866")</f>
        <v>https://www.fabsurplus.com/sdi_catalog/salesItemDetails.do?id=97866</v>
      </c>
      <c r="B1563" s="5" t="s">
        <v>4270</v>
      </c>
      <c r="C1563" s="5" t="s">
        <v>4246</v>
      </c>
      <c r="D1563" s="5" t="s">
        <v>4271</v>
      </c>
      <c r="E1563" s="5" t="s">
        <v>4272</v>
      </c>
      <c r="F1563" s="5" t="s">
        <v>16</v>
      </c>
      <c r="G1563" s="5"/>
      <c r="H1563" s="5"/>
      <c r="I1563" s="5"/>
      <c r="J1563" s="5" t="s">
        <v>19</v>
      </c>
      <c r="K1563" s="5"/>
      <c r="L1563" s="5"/>
    </row>
    <row r="1564" customFormat="false" ht="13.35" hidden="false" customHeight="true" outlineLevel="0" collapsed="false">
      <c r="A1564" s="5" t="str">
        <f aca="false">HYPERLINK("https://www.fabsurplus.com/sdi_catalog/salesItemDetails.do?id=69389")</f>
        <v>https://www.fabsurplus.com/sdi_catalog/salesItemDetails.do?id=69389</v>
      </c>
      <c r="B1564" s="5" t="s">
        <v>4273</v>
      </c>
      <c r="C1564" s="5" t="s">
        <v>4274</v>
      </c>
      <c r="D1564" s="5" t="s">
        <v>4275</v>
      </c>
      <c r="E1564" s="5" t="s">
        <v>4253</v>
      </c>
      <c r="F1564" s="5" t="s">
        <v>16</v>
      </c>
      <c r="G1564" s="5"/>
      <c r="H1564" s="5"/>
      <c r="I1564" s="5"/>
      <c r="J1564" s="5" t="s">
        <v>19</v>
      </c>
      <c r="K1564" s="5"/>
      <c r="L1564" s="7" t="s">
        <v>4276</v>
      </c>
    </row>
    <row r="1565" customFormat="false" ht="13.35" hidden="false" customHeight="true" outlineLevel="0" collapsed="false">
      <c r="A1565" s="2" t="str">
        <f aca="false">HYPERLINK("https://www.fabsurplus.com/sdi_catalog/salesItemDetails.do?id=102168")</f>
        <v>https://www.fabsurplus.com/sdi_catalog/salesItemDetails.do?id=102168</v>
      </c>
      <c r="B1565" s="2" t="s">
        <v>4277</v>
      </c>
      <c r="C1565" s="2" t="s">
        <v>4278</v>
      </c>
      <c r="D1565" s="2" t="s">
        <v>4279</v>
      </c>
      <c r="E1565" s="2" t="s">
        <v>3158</v>
      </c>
      <c r="F1565" s="2" t="s">
        <v>16</v>
      </c>
      <c r="G1565" s="2" t="s">
        <v>4280</v>
      </c>
      <c r="H1565" s="2"/>
      <c r="I1565" s="3" t="n">
        <v>37408</v>
      </c>
      <c r="J1565" s="2" t="s">
        <v>19</v>
      </c>
      <c r="K1565" s="2"/>
      <c r="L1565" s="2"/>
    </row>
    <row r="1566" customFormat="false" ht="13.35" hidden="false" customHeight="true" outlineLevel="0" collapsed="false">
      <c r="A1566" s="5" t="str">
        <f aca="false">HYPERLINK("https://www.fabsurplus.com/sdi_catalog/salesItemDetails.do?id=90173")</f>
        <v>https://www.fabsurplus.com/sdi_catalog/salesItemDetails.do?id=90173</v>
      </c>
      <c r="B1566" s="5" t="s">
        <v>4281</v>
      </c>
      <c r="C1566" s="5" t="s">
        <v>4282</v>
      </c>
      <c r="D1566" s="5" t="s">
        <v>4283</v>
      </c>
      <c r="E1566" s="5" t="s">
        <v>4284</v>
      </c>
      <c r="F1566" s="5" t="s">
        <v>16</v>
      </c>
      <c r="G1566" s="5" t="s">
        <v>138</v>
      </c>
      <c r="H1566" s="5"/>
      <c r="I1566" s="5"/>
      <c r="J1566" s="5" t="s">
        <v>19</v>
      </c>
      <c r="K1566" s="5"/>
      <c r="L1566" s="5" t="s">
        <v>2498</v>
      </c>
    </row>
    <row r="1567" customFormat="false" ht="13.35" hidden="false" customHeight="true" outlineLevel="0" collapsed="false">
      <c r="A1567" s="2" t="str">
        <f aca="false">HYPERLINK("https://www.fabsurplus.com/sdi_catalog/salesItemDetails.do?id=90176")</f>
        <v>https://www.fabsurplus.com/sdi_catalog/salesItemDetails.do?id=90176</v>
      </c>
      <c r="B1567" s="2" t="s">
        <v>4285</v>
      </c>
      <c r="C1567" s="2" t="s">
        <v>4282</v>
      </c>
      <c r="D1567" s="2" t="s">
        <v>4286</v>
      </c>
      <c r="E1567" s="2" t="s">
        <v>4287</v>
      </c>
      <c r="F1567" s="2" t="s">
        <v>51</v>
      </c>
      <c r="G1567" s="2" t="s">
        <v>138</v>
      </c>
      <c r="H1567" s="2"/>
      <c r="I1567" s="2"/>
      <c r="J1567" s="2" t="s">
        <v>19</v>
      </c>
      <c r="K1567" s="2"/>
      <c r="L1567" s="2" t="s">
        <v>2498</v>
      </c>
    </row>
    <row r="1568" customFormat="false" ht="13.35" hidden="false" customHeight="true" outlineLevel="0" collapsed="false">
      <c r="A1568" s="2" t="str">
        <f aca="false">HYPERLINK("https://www.fabsurplus.com/sdi_catalog/salesItemDetails.do?id=90174")</f>
        <v>https://www.fabsurplus.com/sdi_catalog/salesItemDetails.do?id=90174</v>
      </c>
      <c r="B1568" s="2" t="s">
        <v>4288</v>
      </c>
      <c r="C1568" s="2" t="s">
        <v>4282</v>
      </c>
      <c r="D1568" s="2" t="s">
        <v>4289</v>
      </c>
      <c r="E1568" s="2" t="s">
        <v>4284</v>
      </c>
      <c r="F1568" s="2" t="s">
        <v>125</v>
      </c>
      <c r="G1568" s="2" t="s">
        <v>138</v>
      </c>
      <c r="H1568" s="2"/>
      <c r="I1568" s="2"/>
      <c r="J1568" s="2" t="s">
        <v>19</v>
      </c>
      <c r="K1568" s="2"/>
      <c r="L1568" s="2" t="s">
        <v>2498</v>
      </c>
    </row>
    <row r="1569" customFormat="false" ht="13.35" hidden="false" customHeight="true" outlineLevel="0" collapsed="false">
      <c r="A1569" s="5" t="str">
        <f aca="false">HYPERLINK("https://www.fabsurplus.com/sdi_catalog/salesItemDetails.do?id=90175")</f>
        <v>https://www.fabsurplus.com/sdi_catalog/salesItemDetails.do?id=90175</v>
      </c>
      <c r="B1569" s="5" t="s">
        <v>4290</v>
      </c>
      <c r="C1569" s="5" t="s">
        <v>4282</v>
      </c>
      <c r="D1569" s="5" t="s">
        <v>4291</v>
      </c>
      <c r="E1569" s="5" t="s">
        <v>4284</v>
      </c>
      <c r="F1569" s="5" t="s">
        <v>125</v>
      </c>
      <c r="G1569" s="5" t="s">
        <v>138</v>
      </c>
      <c r="H1569" s="5"/>
      <c r="I1569" s="5"/>
      <c r="J1569" s="5" t="s">
        <v>19</v>
      </c>
      <c r="K1569" s="5"/>
      <c r="L1569" s="5" t="s">
        <v>2498</v>
      </c>
    </row>
    <row r="1570" customFormat="false" ht="13.35" hidden="false" customHeight="true" outlineLevel="0" collapsed="false">
      <c r="A1570" s="2" t="str">
        <f aca="false">HYPERLINK("https://www.fabsurplus.com/sdi_catalog/salesItemDetails.do?id=90171")</f>
        <v>https://www.fabsurplus.com/sdi_catalog/salesItemDetails.do?id=90171</v>
      </c>
      <c r="B1570" s="2" t="s">
        <v>4292</v>
      </c>
      <c r="C1570" s="2" t="s">
        <v>4282</v>
      </c>
      <c r="D1570" s="2" t="s">
        <v>4293</v>
      </c>
      <c r="E1570" s="2" t="s">
        <v>4284</v>
      </c>
      <c r="F1570" s="2" t="s">
        <v>16</v>
      </c>
      <c r="G1570" s="2" t="s">
        <v>138</v>
      </c>
      <c r="H1570" s="2" t="s">
        <v>18</v>
      </c>
      <c r="I1570" s="2"/>
      <c r="J1570" s="2" t="s">
        <v>19</v>
      </c>
      <c r="K1570" s="2" t="s">
        <v>20</v>
      </c>
      <c r="L1570" s="2" t="s">
        <v>2498</v>
      </c>
    </row>
    <row r="1571" customFormat="false" ht="13.35" hidden="false" customHeight="true" outlineLevel="0" collapsed="false">
      <c r="A1571" s="5" t="str">
        <f aca="false">HYPERLINK("https://www.fabsurplus.com/sdi_catalog/salesItemDetails.do?id=90172")</f>
        <v>https://www.fabsurplus.com/sdi_catalog/salesItemDetails.do?id=90172</v>
      </c>
      <c r="B1571" s="5" t="s">
        <v>4294</v>
      </c>
      <c r="C1571" s="5" t="s">
        <v>4282</v>
      </c>
      <c r="D1571" s="5" t="s">
        <v>4295</v>
      </c>
      <c r="E1571" s="5" t="s">
        <v>4284</v>
      </c>
      <c r="F1571" s="5" t="s">
        <v>125</v>
      </c>
      <c r="G1571" s="5" t="s">
        <v>138</v>
      </c>
      <c r="H1571" s="5" t="s">
        <v>26</v>
      </c>
      <c r="I1571" s="5"/>
      <c r="J1571" s="5" t="s">
        <v>19</v>
      </c>
      <c r="K1571" s="5" t="s">
        <v>20</v>
      </c>
      <c r="L1571" s="7" t="s">
        <v>4296</v>
      </c>
    </row>
    <row r="1572" customFormat="false" ht="13.35" hidden="false" customHeight="true" outlineLevel="0" collapsed="false">
      <c r="A1572" s="2" t="str">
        <f aca="false">HYPERLINK("https://www.fabsurplus.com/sdi_catalog/salesItemDetails.do?id=93208")</f>
        <v>https://www.fabsurplus.com/sdi_catalog/salesItemDetails.do?id=93208</v>
      </c>
      <c r="B1572" s="2" t="s">
        <v>4297</v>
      </c>
      <c r="C1572" s="2" t="s">
        <v>4298</v>
      </c>
      <c r="D1572" s="2" t="s">
        <v>4299</v>
      </c>
      <c r="E1572" s="2" t="s">
        <v>4284</v>
      </c>
      <c r="F1572" s="2" t="s">
        <v>16</v>
      </c>
      <c r="G1572" s="2" t="s">
        <v>138</v>
      </c>
      <c r="H1572" s="2"/>
      <c r="I1572" s="2"/>
      <c r="J1572" s="2" t="s">
        <v>19</v>
      </c>
      <c r="K1572" s="2"/>
      <c r="L1572" s="2" t="s">
        <v>112</v>
      </c>
    </row>
    <row r="1573" customFormat="false" ht="13.35" hidden="false" customHeight="true" outlineLevel="0" collapsed="false">
      <c r="A1573" s="2" t="str">
        <f aca="false">HYPERLINK("https://www.fabsurplus.com/sdi_catalog/salesItemDetails.do?id=102884")</f>
        <v>https://www.fabsurplus.com/sdi_catalog/salesItemDetails.do?id=102884</v>
      </c>
      <c r="B1573" s="2" t="s">
        <v>4300</v>
      </c>
      <c r="C1573" s="2" t="s">
        <v>4301</v>
      </c>
      <c r="D1573" s="2" t="s">
        <v>4302</v>
      </c>
      <c r="E1573" s="2" t="s">
        <v>4303</v>
      </c>
      <c r="F1573" s="2" t="s">
        <v>16</v>
      </c>
      <c r="G1573" s="2" t="s">
        <v>36</v>
      </c>
      <c r="H1573" s="2"/>
      <c r="I1573" s="3" t="n">
        <v>35217</v>
      </c>
      <c r="J1573" s="2" t="s">
        <v>19</v>
      </c>
      <c r="K1573" s="2"/>
      <c r="L1573" s="2" t="s">
        <v>4304</v>
      </c>
    </row>
    <row r="1574" customFormat="false" ht="13.35" hidden="false" customHeight="true" outlineLevel="0" collapsed="false">
      <c r="A1574" s="5" t="str">
        <f aca="false">HYPERLINK("https://www.fabsurplus.com/sdi_catalog/salesItemDetails.do?id=103167")</f>
        <v>https://www.fabsurplus.com/sdi_catalog/salesItemDetails.do?id=103167</v>
      </c>
      <c r="B1574" s="5" t="s">
        <v>4305</v>
      </c>
      <c r="C1574" s="5" t="s">
        <v>4306</v>
      </c>
      <c r="D1574" s="5" t="s">
        <v>4307</v>
      </c>
      <c r="E1574" s="5" t="s">
        <v>4308</v>
      </c>
      <c r="F1574" s="5" t="s">
        <v>16</v>
      </c>
      <c r="G1574" s="5" t="s">
        <v>493</v>
      </c>
      <c r="H1574" s="5"/>
      <c r="I1574" s="5"/>
      <c r="J1574" s="5" t="s">
        <v>47</v>
      </c>
      <c r="K1574" s="5"/>
      <c r="L1574" s="7" t="s">
        <v>4309</v>
      </c>
    </row>
    <row r="1575" customFormat="false" ht="13.35" hidden="false" customHeight="true" outlineLevel="0" collapsed="false">
      <c r="A1575" s="5" t="str">
        <f aca="false">HYPERLINK("https://www.fabsurplus.com/sdi_catalog/salesItemDetails.do?id=103168")</f>
        <v>https://www.fabsurplus.com/sdi_catalog/salesItemDetails.do?id=103168</v>
      </c>
      <c r="B1575" s="5" t="s">
        <v>4310</v>
      </c>
      <c r="C1575" s="5" t="s">
        <v>4311</v>
      </c>
      <c r="D1575" s="5" t="s">
        <v>4312</v>
      </c>
      <c r="E1575" s="5" t="s">
        <v>4308</v>
      </c>
      <c r="F1575" s="5" t="s">
        <v>16</v>
      </c>
      <c r="G1575" s="5" t="s">
        <v>1091</v>
      </c>
      <c r="H1575" s="5"/>
      <c r="I1575" s="5"/>
      <c r="J1575" s="5" t="s">
        <v>47</v>
      </c>
      <c r="K1575" s="5"/>
      <c r="L1575" s="7" t="s">
        <v>4313</v>
      </c>
    </row>
    <row r="1576" customFormat="false" ht="13.35" hidden="false" customHeight="true" outlineLevel="0" collapsed="false">
      <c r="A1576" s="2" t="str">
        <f aca="false">HYPERLINK("https://www.fabsurplus.com/sdi_catalog/salesItemDetails.do?id=100646")</f>
        <v>https://www.fabsurplus.com/sdi_catalog/salesItemDetails.do?id=100646</v>
      </c>
      <c r="B1576" s="2" t="s">
        <v>4314</v>
      </c>
      <c r="C1576" s="2" t="s">
        <v>4315</v>
      </c>
      <c r="D1576" s="2" t="s">
        <v>4316</v>
      </c>
      <c r="E1576" s="2" t="s">
        <v>4317</v>
      </c>
      <c r="F1576" s="2" t="s">
        <v>16</v>
      </c>
      <c r="G1576" s="2" t="s">
        <v>160</v>
      </c>
      <c r="H1576" s="2"/>
      <c r="I1576" s="2"/>
      <c r="J1576" s="2" t="s">
        <v>19</v>
      </c>
      <c r="K1576" s="2"/>
      <c r="L1576" s="2" t="s">
        <v>474</v>
      </c>
    </row>
    <row r="1577" customFormat="false" ht="13.35" hidden="false" customHeight="true" outlineLevel="0" collapsed="false">
      <c r="A1577" s="2" t="str">
        <f aca="false">HYPERLINK("https://www.fabsurplus.com/sdi_catalog/salesItemDetails.do?id=94476")</f>
        <v>https://www.fabsurplus.com/sdi_catalog/salesItemDetails.do?id=94476</v>
      </c>
      <c r="B1577" s="2" t="s">
        <v>4318</v>
      </c>
      <c r="C1577" s="2" t="s">
        <v>4319</v>
      </c>
      <c r="D1577" s="2" t="s">
        <v>4320</v>
      </c>
      <c r="E1577" s="2" t="s">
        <v>2989</v>
      </c>
      <c r="F1577" s="2" t="s">
        <v>16</v>
      </c>
      <c r="G1577" s="2" t="s">
        <v>36</v>
      </c>
      <c r="H1577" s="2"/>
      <c r="I1577" s="2"/>
      <c r="J1577" s="2" t="s">
        <v>19</v>
      </c>
      <c r="K1577" s="2"/>
      <c r="L1577" s="2"/>
    </row>
    <row r="1578" customFormat="false" ht="13.35" hidden="false" customHeight="true" outlineLevel="0" collapsed="false">
      <c r="A1578" s="5" t="str">
        <f aca="false">HYPERLINK("https://www.fabsurplus.com/sdi_catalog/salesItemDetails.do?id=61192")</f>
        <v>https://www.fabsurplus.com/sdi_catalog/salesItemDetails.do?id=61192</v>
      </c>
      <c r="B1578" s="5" t="s">
        <v>4321</v>
      </c>
      <c r="C1578" s="5" t="s">
        <v>4322</v>
      </c>
      <c r="D1578" s="5" t="s">
        <v>4323</v>
      </c>
      <c r="E1578" s="5" t="s">
        <v>4324</v>
      </c>
      <c r="F1578" s="5" t="s">
        <v>16</v>
      </c>
      <c r="G1578" s="5" t="s">
        <v>493</v>
      </c>
      <c r="H1578" s="5"/>
      <c r="I1578" s="5"/>
      <c r="J1578" s="5" t="s">
        <v>19</v>
      </c>
      <c r="K1578" s="5"/>
      <c r="L1578" s="5"/>
    </row>
    <row r="1579" customFormat="false" ht="13.35" hidden="false" customHeight="true" outlineLevel="0" collapsed="false">
      <c r="A1579" s="2" t="str">
        <f aca="false">HYPERLINK("https://www.fabsurplus.com/sdi_catalog/salesItemDetails.do?id=61193")</f>
        <v>https://www.fabsurplus.com/sdi_catalog/salesItemDetails.do?id=61193</v>
      </c>
      <c r="B1579" s="2" t="s">
        <v>4325</v>
      </c>
      <c r="C1579" s="2" t="s">
        <v>4322</v>
      </c>
      <c r="D1579" s="2" t="s">
        <v>4326</v>
      </c>
      <c r="E1579" s="2" t="s">
        <v>4327</v>
      </c>
      <c r="F1579" s="2" t="s">
        <v>16</v>
      </c>
      <c r="G1579" s="2" t="s">
        <v>36</v>
      </c>
      <c r="H1579" s="2"/>
      <c r="I1579" s="2"/>
      <c r="J1579" s="2" t="s">
        <v>19</v>
      </c>
      <c r="K1579" s="2"/>
      <c r="L1579" s="2"/>
    </row>
    <row r="1580" customFormat="false" ht="13.35" hidden="false" customHeight="true" outlineLevel="0" collapsed="false">
      <c r="A1580" s="5" t="str">
        <f aca="false">HYPERLINK("https://www.fabsurplus.com/sdi_catalog/salesItemDetails.do?id=102502")</f>
        <v>https://www.fabsurplus.com/sdi_catalog/salesItemDetails.do?id=102502</v>
      </c>
      <c r="B1580" s="5" t="s">
        <v>4328</v>
      </c>
      <c r="C1580" s="5" t="s">
        <v>4329</v>
      </c>
      <c r="D1580" s="5" t="s">
        <v>4330</v>
      </c>
      <c r="E1580" s="5" t="s">
        <v>4331</v>
      </c>
      <c r="F1580" s="5" t="s">
        <v>16</v>
      </c>
      <c r="G1580" s="5" t="s">
        <v>4332</v>
      </c>
      <c r="H1580" s="5" t="s">
        <v>26</v>
      </c>
      <c r="I1580" s="6" t="n">
        <v>37043</v>
      </c>
      <c r="J1580" s="5" t="s">
        <v>19</v>
      </c>
      <c r="K1580" s="5" t="s">
        <v>20</v>
      </c>
      <c r="L1580" s="7" t="s">
        <v>4333</v>
      </c>
    </row>
    <row r="1581" customFormat="false" ht="13.35" hidden="false" customHeight="true" outlineLevel="0" collapsed="false">
      <c r="A1581" s="5" t="str">
        <f aca="false">HYPERLINK("https://www.fabsurplus.com/sdi_catalog/salesItemDetails.do?id=80349")</f>
        <v>https://www.fabsurplus.com/sdi_catalog/salesItemDetails.do?id=80349</v>
      </c>
      <c r="B1581" s="5" t="s">
        <v>4334</v>
      </c>
      <c r="C1581" s="5" t="s">
        <v>4335</v>
      </c>
      <c r="D1581" s="5" t="s">
        <v>4336</v>
      </c>
      <c r="E1581" s="5" t="s">
        <v>4337</v>
      </c>
      <c r="F1581" s="5" t="s">
        <v>16</v>
      </c>
      <c r="G1581" s="5" t="s">
        <v>499</v>
      </c>
      <c r="H1581" s="5" t="s">
        <v>26</v>
      </c>
      <c r="I1581" s="6" t="n">
        <v>36678</v>
      </c>
      <c r="J1581" s="5" t="s">
        <v>19</v>
      </c>
      <c r="K1581" s="5" t="s">
        <v>20</v>
      </c>
      <c r="L1581" s="5" t="s">
        <v>4338</v>
      </c>
    </row>
    <row r="1582" customFormat="false" ht="13.35" hidden="false" customHeight="true" outlineLevel="0" collapsed="false">
      <c r="A1582" s="5" t="str">
        <f aca="false">HYPERLINK("https://www.fabsurplus.com/sdi_catalog/salesItemDetails.do?id=100647")</f>
        <v>https://www.fabsurplus.com/sdi_catalog/salesItemDetails.do?id=100647</v>
      </c>
      <c r="B1582" s="5" t="s">
        <v>4339</v>
      </c>
      <c r="C1582" s="5" t="s">
        <v>4340</v>
      </c>
      <c r="D1582" s="5" t="s">
        <v>4341</v>
      </c>
      <c r="E1582" s="5" t="s">
        <v>4342</v>
      </c>
      <c r="F1582" s="5" t="s">
        <v>16</v>
      </c>
      <c r="G1582" s="5" t="s">
        <v>160</v>
      </c>
      <c r="H1582" s="5"/>
      <c r="I1582" s="5"/>
      <c r="J1582" s="5" t="s">
        <v>19</v>
      </c>
      <c r="K1582" s="5"/>
      <c r="L1582" s="5" t="s">
        <v>474</v>
      </c>
    </row>
    <row r="1583" customFormat="false" ht="13.35" hidden="false" customHeight="true" outlineLevel="0" collapsed="false">
      <c r="A1583" s="2" t="str">
        <f aca="false">HYPERLINK("https://www.fabsurplus.com/sdi_catalog/salesItemDetails.do?id=103006")</f>
        <v>https://www.fabsurplus.com/sdi_catalog/salesItemDetails.do?id=103006</v>
      </c>
      <c r="B1583" s="2" t="s">
        <v>4343</v>
      </c>
      <c r="C1583" s="2" t="s">
        <v>4344</v>
      </c>
      <c r="D1583" s="2" t="s">
        <v>4345</v>
      </c>
      <c r="E1583" s="2" t="s">
        <v>4346</v>
      </c>
      <c r="F1583" s="2" t="s">
        <v>16</v>
      </c>
      <c r="G1583" s="2"/>
      <c r="H1583" s="2"/>
      <c r="I1583" s="2"/>
      <c r="J1583" s="2" t="s">
        <v>19</v>
      </c>
      <c r="K1583" s="2"/>
      <c r="L1583" s="2"/>
    </row>
    <row r="1584" customFormat="false" ht="13.35" hidden="false" customHeight="true" outlineLevel="0" collapsed="false">
      <c r="A1584" s="5" t="str">
        <f aca="false">HYPERLINK("https://www.fabsurplus.com/sdi_catalog/salesItemDetails.do?id=98406")</f>
        <v>https://www.fabsurplus.com/sdi_catalog/salesItemDetails.do?id=98406</v>
      </c>
      <c r="B1584" s="5" t="s">
        <v>4347</v>
      </c>
      <c r="C1584" s="5" t="s">
        <v>4348</v>
      </c>
      <c r="D1584" s="5" t="s">
        <v>4349</v>
      </c>
      <c r="E1584" s="5" t="s">
        <v>4350</v>
      </c>
      <c r="F1584" s="5" t="s">
        <v>58</v>
      </c>
      <c r="G1584" s="5" t="s">
        <v>493</v>
      </c>
      <c r="H1584" s="5"/>
      <c r="I1584" s="5"/>
      <c r="J1584" s="5" t="s">
        <v>19</v>
      </c>
      <c r="K1584" s="5"/>
      <c r="L1584" s="7" t="s">
        <v>4351</v>
      </c>
    </row>
    <row r="1585" customFormat="false" ht="13.35" hidden="false" customHeight="true" outlineLevel="0" collapsed="false">
      <c r="A1585" s="2" t="str">
        <f aca="false">HYPERLINK("https://www.fabsurplus.com/sdi_catalog/salesItemDetails.do?id=83977")</f>
        <v>https://www.fabsurplus.com/sdi_catalog/salesItemDetails.do?id=83977</v>
      </c>
      <c r="B1585" s="2" t="s">
        <v>4352</v>
      </c>
      <c r="C1585" s="2" t="s">
        <v>4353</v>
      </c>
      <c r="D1585" s="2" t="s">
        <v>4354</v>
      </c>
      <c r="E1585" s="2" t="s">
        <v>4355</v>
      </c>
      <c r="F1585" s="2" t="s">
        <v>51</v>
      </c>
      <c r="G1585" s="2" t="s">
        <v>17</v>
      </c>
      <c r="H1585" s="2" t="s">
        <v>26</v>
      </c>
      <c r="I1585" s="3" t="n">
        <v>39661</v>
      </c>
      <c r="J1585" s="2" t="s">
        <v>19</v>
      </c>
      <c r="K1585" s="2" t="s">
        <v>20</v>
      </c>
      <c r="L1585" s="4" t="s">
        <v>4356</v>
      </c>
    </row>
    <row r="1586" customFormat="false" ht="13.35" hidden="false" customHeight="true" outlineLevel="0" collapsed="false">
      <c r="A1586" s="2" t="str">
        <f aca="false">HYPERLINK("https://www.fabsurplus.com/sdi_catalog/salesItemDetails.do?id=102885")</f>
        <v>https://www.fabsurplus.com/sdi_catalog/salesItemDetails.do?id=102885</v>
      </c>
      <c r="B1586" s="2" t="s">
        <v>4357</v>
      </c>
      <c r="C1586" s="2" t="s">
        <v>4353</v>
      </c>
      <c r="D1586" s="2" t="s">
        <v>4358</v>
      </c>
      <c r="E1586" s="2" t="s">
        <v>4359</v>
      </c>
      <c r="F1586" s="2" t="s">
        <v>16</v>
      </c>
      <c r="G1586" s="2" t="s">
        <v>36</v>
      </c>
      <c r="H1586" s="2"/>
      <c r="I1586" s="3" t="n">
        <v>34486</v>
      </c>
      <c r="J1586" s="2" t="s">
        <v>19</v>
      </c>
      <c r="K1586" s="2"/>
      <c r="L1586" s="2" t="s">
        <v>4360</v>
      </c>
    </row>
    <row r="1587" customFormat="false" ht="13.35" hidden="false" customHeight="true" outlineLevel="0" collapsed="false">
      <c r="A1587" s="5" t="str">
        <f aca="false">HYPERLINK("https://www.fabsurplus.com/sdi_catalog/salesItemDetails.do?id=102886")</f>
        <v>https://www.fabsurplus.com/sdi_catalog/salesItemDetails.do?id=102886</v>
      </c>
      <c r="B1587" s="5" t="s">
        <v>4361</v>
      </c>
      <c r="C1587" s="5" t="s">
        <v>4353</v>
      </c>
      <c r="D1587" s="5" t="s">
        <v>4362</v>
      </c>
      <c r="E1587" s="5" t="s">
        <v>4359</v>
      </c>
      <c r="F1587" s="5" t="s">
        <v>16</v>
      </c>
      <c r="G1587" s="5" t="s">
        <v>36</v>
      </c>
      <c r="H1587" s="5"/>
      <c r="I1587" s="6" t="n">
        <v>36678</v>
      </c>
      <c r="J1587" s="5" t="s">
        <v>19</v>
      </c>
      <c r="K1587" s="5"/>
      <c r="L1587" s="5" t="s">
        <v>4363</v>
      </c>
    </row>
    <row r="1588" customFormat="false" ht="13.35" hidden="false" customHeight="true" outlineLevel="0" collapsed="false">
      <c r="A1588" s="2" t="str">
        <f aca="false">HYPERLINK("https://www.fabsurplus.com/sdi_catalog/salesItemDetails.do?id=102290")</f>
        <v>https://www.fabsurplus.com/sdi_catalog/salesItemDetails.do?id=102290</v>
      </c>
      <c r="B1588" s="2" t="s">
        <v>4364</v>
      </c>
      <c r="C1588" s="2" t="s">
        <v>4353</v>
      </c>
      <c r="D1588" s="2" t="s">
        <v>4365</v>
      </c>
      <c r="E1588" s="2" t="s">
        <v>4366</v>
      </c>
      <c r="F1588" s="2" t="s">
        <v>16</v>
      </c>
      <c r="G1588" s="2" t="s">
        <v>36</v>
      </c>
      <c r="H1588" s="2"/>
      <c r="I1588" s="3" t="n">
        <v>35217</v>
      </c>
      <c r="J1588" s="2" t="s">
        <v>19</v>
      </c>
      <c r="K1588" s="2"/>
      <c r="L1588" s="2"/>
    </row>
    <row r="1589" customFormat="false" ht="13.35" hidden="false" customHeight="true" outlineLevel="0" collapsed="false">
      <c r="A1589" s="5" t="str">
        <f aca="false">HYPERLINK("https://www.fabsurplus.com/sdi_catalog/salesItemDetails.do?id=98828")</f>
        <v>https://www.fabsurplus.com/sdi_catalog/salesItemDetails.do?id=98828</v>
      </c>
      <c r="B1589" s="5" t="s">
        <v>4367</v>
      </c>
      <c r="C1589" s="5" t="s">
        <v>4368</v>
      </c>
      <c r="D1589" s="5" t="s">
        <v>4369</v>
      </c>
      <c r="E1589" s="5" t="s">
        <v>4370</v>
      </c>
      <c r="F1589" s="5" t="s">
        <v>16</v>
      </c>
      <c r="G1589" s="5" t="s">
        <v>17</v>
      </c>
      <c r="H1589" s="5" t="s">
        <v>26</v>
      </c>
      <c r="I1589" s="6" t="n">
        <v>40483</v>
      </c>
      <c r="J1589" s="5" t="s">
        <v>19</v>
      </c>
      <c r="K1589" s="5" t="s">
        <v>20</v>
      </c>
      <c r="L1589" s="5" t="s">
        <v>474</v>
      </c>
    </row>
    <row r="1590" customFormat="false" ht="13.35" hidden="false" customHeight="true" outlineLevel="0" collapsed="false">
      <c r="A1590" s="5" t="str">
        <f aca="false">HYPERLINK("https://www.fabsurplus.com/sdi_catalog/salesItemDetails.do?id=102291")</f>
        <v>https://www.fabsurplus.com/sdi_catalog/salesItemDetails.do?id=102291</v>
      </c>
      <c r="B1590" s="5" t="s">
        <v>4371</v>
      </c>
      <c r="C1590" s="5" t="s">
        <v>4353</v>
      </c>
      <c r="D1590" s="5" t="s">
        <v>4372</v>
      </c>
      <c r="E1590" s="5" t="s">
        <v>818</v>
      </c>
      <c r="F1590" s="5" t="s">
        <v>16</v>
      </c>
      <c r="G1590" s="5" t="s">
        <v>17</v>
      </c>
      <c r="H1590" s="5"/>
      <c r="I1590" s="6" t="n">
        <v>39234</v>
      </c>
      <c r="J1590" s="5" t="s">
        <v>19</v>
      </c>
      <c r="K1590" s="5"/>
      <c r="L1590" s="5"/>
    </row>
    <row r="1591" customFormat="false" ht="13.35" hidden="false" customHeight="true" outlineLevel="0" collapsed="false">
      <c r="A1591" s="5" t="str">
        <f aca="false">HYPERLINK("https://www.fabsurplus.com/sdi_catalog/salesItemDetails.do?id=91639")</f>
        <v>https://www.fabsurplus.com/sdi_catalog/salesItemDetails.do?id=91639</v>
      </c>
      <c r="B1591" s="5" t="s">
        <v>4373</v>
      </c>
      <c r="C1591" s="5" t="s">
        <v>4368</v>
      </c>
      <c r="D1591" s="5" t="s">
        <v>4369</v>
      </c>
      <c r="E1591" s="5" t="s">
        <v>818</v>
      </c>
      <c r="F1591" s="5" t="s">
        <v>16</v>
      </c>
      <c r="G1591" s="5" t="s">
        <v>17</v>
      </c>
      <c r="H1591" s="5" t="s">
        <v>26</v>
      </c>
      <c r="I1591" s="6" t="n">
        <v>41579</v>
      </c>
      <c r="J1591" s="5" t="s">
        <v>19</v>
      </c>
      <c r="K1591" s="5" t="s">
        <v>20</v>
      </c>
      <c r="L1591" s="7" t="s">
        <v>4374</v>
      </c>
    </row>
    <row r="1592" customFormat="false" ht="13.35" hidden="false" customHeight="true" outlineLevel="0" collapsed="false">
      <c r="A1592" s="2" t="str">
        <f aca="false">HYPERLINK("https://www.fabsurplus.com/sdi_catalog/salesItemDetails.do?id=91640")</f>
        <v>https://www.fabsurplus.com/sdi_catalog/salesItemDetails.do?id=91640</v>
      </c>
      <c r="B1592" s="2" t="s">
        <v>4375</v>
      </c>
      <c r="C1592" s="2" t="s">
        <v>4368</v>
      </c>
      <c r="D1592" s="2" t="s">
        <v>4369</v>
      </c>
      <c r="E1592" s="2" t="s">
        <v>818</v>
      </c>
      <c r="F1592" s="2" t="s">
        <v>16</v>
      </c>
      <c r="G1592" s="2" t="s">
        <v>17</v>
      </c>
      <c r="H1592" s="2" t="s">
        <v>18</v>
      </c>
      <c r="I1592" s="3" t="n">
        <v>38322</v>
      </c>
      <c r="J1592" s="2" t="s">
        <v>19</v>
      </c>
      <c r="K1592" s="2" t="s">
        <v>20</v>
      </c>
      <c r="L1592" s="4" t="s">
        <v>4376</v>
      </c>
    </row>
    <row r="1593" customFormat="false" ht="13.35" hidden="false" customHeight="true" outlineLevel="0" collapsed="false">
      <c r="A1593" s="5" t="str">
        <f aca="false">HYPERLINK("https://www.fabsurplus.com/sdi_catalog/salesItemDetails.do?id=91641")</f>
        <v>https://www.fabsurplus.com/sdi_catalog/salesItemDetails.do?id=91641</v>
      </c>
      <c r="B1593" s="5" t="s">
        <v>4377</v>
      </c>
      <c r="C1593" s="5" t="s">
        <v>4368</v>
      </c>
      <c r="D1593" s="5" t="s">
        <v>4369</v>
      </c>
      <c r="E1593" s="5" t="s">
        <v>818</v>
      </c>
      <c r="F1593" s="5" t="s">
        <v>16</v>
      </c>
      <c r="G1593" s="5" t="s">
        <v>17</v>
      </c>
      <c r="H1593" s="5" t="s">
        <v>18</v>
      </c>
      <c r="I1593" s="6" t="n">
        <v>38473</v>
      </c>
      <c r="J1593" s="5" t="s">
        <v>19</v>
      </c>
      <c r="K1593" s="5" t="s">
        <v>20</v>
      </c>
      <c r="L1593" s="7" t="s">
        <v>4378</v>
      </c>
    </row>
    <row r="1594" customFormat="false" ht="13.35" hidden="false" customHeight="true" outlineLevel="0" collapsed="false">
      <c r="A1594" s="2" t="str">
        <f aca="false">HYPERLINK("https://www.fabsurplus.com/sdi_catalog/salesItemDetails.do?id=91642")</f>
        <v>https://www.fabsurplus.com/sdi_catalog/salesItemDetails.do?id=91642</v>
      </c>
      <c r="B1594" s="2" t="s">
        <v>4379</v>
      </c>
      <c r="C1594" s="2" t="s">
        <v>4368</v>
      </c>
      <c r="D1594" s="2" t="s">
        <v>4369</v>
      </c>
      <c r="E1594" s="2" t="s">
        <v>818</v>
      </c>
      <c r="F1594" s="2" t="s">
        <v>16</v>
      </c>
      <c r="G1594" s="2" t="s">
        <v>17</v>
      </c>
      <c r="H1594" s="2" t="s">
        <v>18</v>
      </c>
      <c r="I1594" s="3" t="n">
        <v>39022</v>
      </c>
      <c r="J1594" s="2" t="s">
        <v>19</v>
      </c>
      <c r="K1594" s="2" t="s">
        <v>20</v>
      </c>
      <c r="L1594" s="4" t="s">
        <v>4380</v>
      </c>
    </row>
    <row r="1595" customFormat="false" ht="13.35" hidden="false" customHeight="true" outlineLevel="0" collapsed="false">
      <c r="A1595" s="2" t="str">
        <f aca="false">HYPERLINK("https://www.fabsurplus.com/sdi_catalog/salesItemDetails.do?id=98281")</f>
        <v>https://www.fabsurplus.com/sdi_catalog/salesItemDetails.do?id=98281</v>
      </c>
      <c r="B1595" s="2" t="s">
        <v>4381</v>
      </c>
      <c r="C1595" s="2" t="s">
        <v>4368</v>
      </c>
      <c r="D1595" s="2" t="s">
        <v>4369</v>
      </c>
      <c r="E1595" s="2" t="s">
        <v>818</v>
      </c>
      <c r="F1595" s="2" t="s">
        <v>16</v>
      </c>
      <c r="G1595" s="2" t="s">
        <v>17</v>
      </c>
      <c r="H1595" s="2"/>
      <c r="I1595" s="3" t="n">
        <v>38869</v>
      </c>
      <c r="J1595" s="2" t="s">
        <v>19</v>
      </c>
      <c r="K1595" s="2"/>
      <c r="L1595" s="2"/>
    </row>
    <row r="1596" customFormat="false" ht="13.35" hidden="false" customHeight="true" outlineLevel="0" collapsed="false">
      <c r="A1596" s="5" t="str">
        <f aca="false">HYPERLINK("https://www.fabsurplus.com/sdi_catalog/salesItemDetails.do?id=98282")</f>
        <v>https://www.fabsurplus.com/sdi_catalog/salesItemDetails.do?id=98282</v>
      </c>
      <c r="B1596" s="5" t="s">
        <v>4382</v>
      </c>
      <c r="C1596" s="5" t="s">
        <v>4368</v>
      </c>
      <c r="D1596" s="5" t="s">
        <v>4369</v>
      </c>
      <c r="E1596" s="5" t="s">
        <v>818</v>
      </c>
      <c r="F1596" s="5" t="s">
        <v>16</v>
      </c>
      <c r="G1596" s="5" t="s">
        <v>17</v>
      </c>
      <c r="H1596" s="5"/>
      <c r="I1596" s="6" t="n">
        <v>38869</v>
      </c>
      <c r="J1596" s="5" t="s">
        <v>19</v>
      </c>
      <c r="K1596" s="5"/>
      <c r="L1596" s="5"/>
    </row>
    <row r="1597" customFormat="false" ht="13.35" hidden="false" customHeight="true" outlineLevel="0" collapsed="false">
      <c r="A1597" s="2" t="str">
        <f aca="false">HYPERLINK("https://www.fabsurplus.com/sdi_catalog/salesItemDetails.do?id=102292")</f>
        <v>https://www.fabsurplus.com/sdi_catalog/salesItemDetails.do?id=102292</v>
      </c>
      <c r="B1597" s="2" t="s">
        <v>4383</v>
      </c>
      <c r="C1597" s="2" t="s">
        <v>4353</v>
      </c>
      <c r="D1597" s="2" t="s">
        <v>4384</v>
      </c>
      <c r="E1597" s="2" t="s">
        <v>4385</v>
      </c>
      <c r="F1597" s="2" t="s">
        <v>16</v>
      </c>
      <c r="G1597" s="2" t="s">
        <v>17</v>
      </c>
      <c r="H1597" s="2"/>
      <c r="I1597" s="3" t="n">
        <v>41061</v>
      </c>
      <c r="J1597" s="2" t="s">
        <v>19</v>
      </c>
      <c r="K1597" s="2"/>
      <c r="L1597" s="2"/>
    </row>
    <row r="1598" customFormat="false" ht="13.35" hidden="false" customHeight="true" outlineLevel="0" collapsed="false">
      <c r="A1598" s="5" t="str">
        <f aca="false">HYPERLINK("https://www.fabsurplus.com/sdi_catalog/salesItemDetails.do?id=93900")</f>
        <v>https://www.fabsurplus.com/sdi_catalog/salesItemDetails.do?id=93900</v>
      </c>
      <c r="B1598" s="5" t="s">
        <v>4386</v>
      </c>
      <c r="C1598" s="5" t="s">
        <v>4368</v>
      </c>
      <c r="D1598" s="5" t="s">
        <v>4387</v>
      </c>
      <c r="E1598" s="5" t="s">
        <v>4388</v>
      </c>
      <c r="F1598" s="5" t="s">
        <v>16</v>
      </c>
      <c r="G1598" s="5" t="s">
        <v>17</v>
      </c>
      <c r="H1598" s="5"/>
      <c r="I1598" s="6" t="n">
        <v>40695</v>
      </c>
      <c r="J1598" s="5" t="s">
        <v>19</v>
      </c>
      <c r="K1598" s="5"/>
      <c r="L1598" s="7" t="s">
        <v>241</v>
      </c>
    </row>
    <row r="1599" customFormat="false" ht="13.35" hidden="false" customHeight="true" outlineLevel="0" collapsed="false">
      <c r="A1599" s="2" t="str">
        <f aca="false">HYPERLINK("https://www.fabsurplus.com/sdi_catalog/salesItemDetails.do?id=98283")</f>
        <v>https://www.fabsurplus.com/sdi_catalog/salesItemDetails.do?id=98283</v>
      </c>
      <c r="B1599" s="2" t="s">
        <v>4389</v>
      </c>
      <c r="C1599" s="2" t="s">
        <v>4368</v>
      </c>
      <c r="D1599" s="2" t="s">
        <v>4390</v>
      </c>
      <c r="E1599" s="2" t="s">
        <v>4391</v>
      </c>
      <c r="F1599" s="2" t="s">
        <v>16</v>
      </c>
      <c r="G1599" s="2" t="s">
        <v>17</v>
      </c>
      <c r="H1599" s="2"/>
      <c r="I1599" s="3" t="n">
        <v>40695</v>
      </c>
      <c r="J1599" s="2" t="s">
        <v>19</v>
      </c>
      <c r="K1599" s="2"/>
      <c r="L1599" s="2"/>
    </row>
    <row r="1600" customFormat="false" ht="13.35" hidden="false" customHeight="true" outlineLevel="0" collapsed="false">
      <c r="A1600" s="5" t="str">
        <f aca="false">HYPERLINK("https://www.fabsurplus.com/sdi_catalog/salesItemDetails.do?id=98284")</f>
        <v>https://www.fabsurplus.com/sdi_catalog/salesItemDetails.do?id=98284</v>
      </c>
      <c r="B1600" s="5" t="s">
        <v>4392</v>
      </c>
      <c r="C1600" s="5" t="s">
        <v>4368</v>
      </c>
      <c r="D1600" s="5" t="s">
        <v>4390</v>
      </c>
      <c r="E1600" s="5" t="s">
        <v>653</v>
      </c>
      <c r="F1600" s="5" t="s">
        <v>16</v>
      </c>
      <c r="G1600" s="5" t="s">
        <v>17</v>
      </c>
      <c r="H1600" s="5"/>
      <c r="I1600" s="5"/>
      <c r="J1600" s="5" t="s">
        <v>19</v>
      </c>
      <c r="K1600" s="5"/>
      <c r="L1600" s="5"/>
    </row>
    <row r="1601" customFormat="false" ht="13.35" hidden="false" customHeight="true" outlineLevel="0" collapsed="false">
      <c r="A1601" s="2" t="str">
        <f aca="false">HYPERLINK("https://www.fabsurplus.com/sdi_catalog/salesItemDetails.do?id=88049")</f>
        <v>https://www.fabsurplus.com/sdi_catalog/salesItemDetails.do?id=88049</v>
      </c>
      <c r="B1601" s="2" t="s">
        <v>4393</v>
      </c>
      <c r="C1601" s="2" t="s">
        <v>4368</v>
      </c>
      <c r="D1601" s="2" t="s">
        <v>4394</v>
      </c>
      <c r="E1601" s="2" t="s">
        <v>87</v>
      </c>
      <c r="F1601" s="2" t="s">
        <v>16</v>
      </c>
      <c r="G1601" s="2" t="s">
        <v>88</v>
      </c>
      <c r="H1601" s="2"/>
      <c r="I1601" s="2"/>
      <c r="J1601" s="2" t="s">
        <v>19</v>
      </c>
      <c r="K1601" s="2"/>
      <c r="L1601" s="2" t="s">
        <v>89</v>
      </c>
    </row>
    <row r="1602" customFormat="false" ht="13.35" hidden="false" customHeight="true" outlineLevel="0" collapsed="false">
      <c r="A1602" s="2" t="str">
        <f aca="false">HYPERLINK("https://www.fabsurplus.com/sdi_catalog/salesItemDetails.do?id=100902")</f>
        <v>https://www.fabsurplus.com/sdi_catalog/salesItemDetails.do?id=100902</v>
      </c>
      <c r="B1602" s="2" t="s">
        <v>4395</v>
      </c>
      <c r="C1602" s="2" t="s">
        <v>4353</v>
      </c>
      <c r="D1602" s="2" t="s">
        <v>4396</v>
      </c>
      <c r="E1602" s="2" t="s">
        <v>4397</v>
      </c>
      <c r="F1602" s="2" t="s">
        <v>16</v>
      </c>
      <c r="G1602" s="2" t="s">
        <v>17</v>
      </c>
      <c r="H1602" s="2"/>
      <c r="I1602" s="3" t="n">
        <v>39600</v>
      </c>
      <c r="J1602" s="2"/>
      <c r="K1602" s="2"/>
      <c r="L1602" s="4" t="s">
        <v>4398</v>
      </c>
    </row>
    <row r="1603" customFormat="false" ht="13.35" hidden="false" customHeight="true" outlineLevel="0" collapsed="false">
      <c r="A1603" s="2" t="str">
        <f aca="false">HYPERLINK("https://www.fabsurplus.com/sdi_catalog/salesItemDetails.do?id=98285")</f>
        <v>https://www.fabsurplus.com/sdi_catalog/salesItemDetails.do?id=98285</v>
      </c>
      <c r="B1603" s="2" t="s">
        <v>4399</v>
      </c>
      <c r="C1603" s="2" t="s">
        <v>4368</v>
      </c>
      <c r="D1603" s="2" t="s">
        <v>4400</v>
      </c>
      <c r="E1603" s="2" t="s">
        <v>4391</v>
      </c>
      <c r="F1603" s="2" t="s">
        <v>16</v>
      </c>
      <c r="G1603" s="2" t="s">
        <v>17</v>
      </c>
      <c r="H1603" s="2"/>
      <c r="I1603" s="3" t="n">
        <v>40695</v>
      </c>
      <c r="J1603" s="2" t="s">
        <v>19</v>
      </c>
      <c r="K1603" s="2"/>
      <c r="L1603" s="2"/>
    </row>
    <row r="1604" customFormat="false" ht="13.35" hidden="false" customHeight="true" outlineLevel="0" collapsed="false">
      <c r="A1604" s="5" t="str">
        <f aca="false">HYPERLINK("https://www.fabsurplus.com/sdi_catalog/salesItemDetails.do?id=98286")</f>
        <v>https://www.fabsurplus.com/sdi_catalog/salesItemDetails.do?id=98286</v>
      </c>
      <c r="B1604" s="5" t="s">
        <v>4401</v>
      </c>
      <c r="C1604" s="5" t="s">
        <v>4368</v>
      </c>
      <c r="D1604" s="5" t="s">
        <v>4400</v>
      </c>
      <c r="E1604" s="5" t="s">
        <v>4391</v>
      </c>
      <c r="F1604" s="5" t="s">
        <v>16</v>
      </c>
      <c r="G1604" s="5" t="s">
        <v>17</v>
      </c>
      <c r="H1604" s="5"/>
      <c r="I1604" s="6" t="n">
        <v>40695</v>
      </c>
      <c r="J1604" s="5" t="s">
        <v>19</v>
      </c>
      <c r="K1604" s="5"/>
      <c r="L1604" s="5"/>
    </row>
    <row r="1605" customFormat="false" ht="13.35" hidden="false" customHeight="true" outlineLevel="0" collapsed="false">
      <c r="A1605" s="2" t="str">
        <f aca="false">HYPERLINK("https://www.fabsurplus.com/sdi_catalog/salesItemDetails.do?id=98287")</f>
        <v>https://www.fabsurplus.com/sdi_catalog/salesItemDetails.do?id=98287</v>
      </c>
      <c r="B1605" s="2" t="s">
        <v>4402</v>
      </c>
      <c r="C1605" s="2" t="s">
        <v>4368</v>
      </c>
      <c r="D1605" s="2" t="s">
        <v>4400</v>
      </c>
      <c r="E1605" s="2" t="s">
        <v>4391</v>
      </c>
      <c r="F1605" s="2" t="s">
        <v>16</v>
      </c>
      <c r="G1605" s="2" t="s">
        <v>17</v>
      </c>
      <c r="H1605" s="2"/>
      <c r="I1605" s="3" t="n">
        <v>41061</v>
      </c>
      <c r="J1605" s="2" t="s">
        <v>19</v>
      </c>
      <c r="K1605" s="2"/>
      <c r="L1605" s="2"/>
    </row>
    <row r="1606" customFormat="false" ht="13.35" hidden="false" customHeight="true" outlineLevel="0" collapsed="false">
      <c r="A1606" s="5" t="str">
        <f aca="false">HYPERLINK("https://www.fabsurplus.com/sdi_catalog/salesItemDetails.do?id=98288")</f>
        <v>https://www.fabsurplus.com/sdi_catalog/salesItemDetails.do?id=98288</v>
      </c>
      <c r="B1606" s="5" t="s">
        <v>4403</v>
      </c>
      <c r="C1606" s="5" t="s">
        <v>4368</v>
      </c>
      <c r="D1606" s="5" t="s">
        <v>4400</v>
      </c>
      <c r="E1606" s="5" t="s">
        <v>4391</v>
      </c>
      <c r="F1606" s="5" t="s">
        <v>16</v>
      </c>
      <c r="G1606" s="5" t="s">
        <v>17</v>
      </c>
      <c r="H1606" s="5"/>
      <c r="I1606" s="6" t="n">
        <v>41061</v>
      </c>
      <c r="J1606" s="5" t="s">
        <v>19</v>
      </c>
      <c r="K1606" s="5"/>
      <c r="L1606" s="5"/>
    </row>
    <row r="1607" customFormat="false" ht="13.35" hidden="false" customHeight="true" outlineLevel="0" collapsed="false">
      <c r="A1607" s="5" t="str">
        <f aca="false">HYPERLINK("https://www.fabsurplus.com/sdi_catalog/salesItemDetails.do?id=81917")</f>
        <v>https://www.fabsurplus.com/sdi_catalog/salesItemDetails.do?id=81917</v>
      </c>
      <c r="B1607" s="5" t="s">
        <v>4404</v>
      </c>
      <c r="C1607" s="5" t="s">
        <v>4405</v>
      </c>
      <c r="D1607" s="5" t="s">
        <v>4406</v>
      </c>
      <c r="E1607" s="5" t="s">
        <v>4407</v>
      </c>
      <c r="F1607" s="5" t="s">
        <v>16</v>
      </c>
      <c r="G1607" s="5" t="s">
        <v>222</v>
      </c>
      <c r="H1607" s="5" t="s">
        <v>18</v>
      </c>
      <c r="I1607" s="6" t="n">
        <v>37408</v>
      </c>
      <c r="J1607" s="5" t="s">
        <v>19</v>
      </c>
      <c r="K1607" s="5" t="s">
        <v>20</v>
      </c>
      <c r="L1607" s="7" t="s">
        <v>4408</v>
      </c>
    </row>
    <row r="1608" customFormat="false" ht="13.35" hidden="false" customHeight="true" outlineLevel="0" collapsed="false">
      <c r="A1608" s="5" t="str">
        <f aca="false">HYPERLINK("https://www.fabsurplus.com/sdi_catalog/salesItemDetails.do?id=99419")</f>
        <v>https://www.fabsurplus.com/sdi_catalog/salesItemDetails.do?id=99419</v>
      </c>
      <c r="B1608" s="5" t="s">
        <v>4409</v>
      </c>
      <c r="C1608" s="5" t="s">
        <v>4405</v>
      </c>
      <c r="D1608" s="5" t="s">
        <v>4410</v>
      </c>
      <c r="E1608" s="5" t="s">
        <v>4411</v>
      </c>
      <c r="F1608" s="5" t="s">
        <v>16</v>
      </c>
      <c r="G1608" s="5"/>
      <c r="H1608" s="5" t="s">
        <v>18</v>
      </c>
      <c r="I1608" s="5"/>
      <c r="J1608" s="5" t="s">
        <v>19</v>
      </c>
      <c r="K1608" s="5" t="s">
        <v>20</v>
      </c>
      <c r="L1608" s="5" t="s">
        <v>4412</v>
      </c>
    </row>
    <row r="1609" customFormat="false" ht="13.35" hidden="false" customHeight="true" outlineLevel="0" collapsed="false">
      <c r="A1609" s="2" t="str">
        <f aca="false">HYPERLINK("https://www.fabsurplus.com/sdi_catalog/salesItemDetails.do?id=99420")</f>
        <v>https://www.fabsurplus.com/sdi_catalog/salesItemDetails.do?id=99420</v>
      </c>
      <c r="B1609" s="2" t="s">
        <v>4413</v>
      </c>
      <c r="C1609" s="2" t="s">
        <v>4405</v>
      </c>
      <c r="D1609" s="2" t="s">
        <v>4414</v>
      </c>
      <c r="E1609" s="2" t="s">
        <v>4411</v>
      </c>
      <c r="F1609" s="2" t="s">
        <v>16</v>
      </c>
      <c r="G1609" s="2" t="s">
        <v>4415</v>
      </c>
      <c r="H1609" s="2" t="s">
        <v>18</v>
      </c>
      <c r="I1609" s="2"/>
      <c r="J1609" s="2" t="s">
        <v>19</v>
      </c>
      <c r="K1609" s="2" t="s">
        <v>20</v>
      </c>
      <c r="L1609" s="4" t="s">
        <v>4416</v>
      </c>
    </row>
    <row r="1610" customFormat="false" ht="13.35" hidden="false" customHeight="true" outlineLevel="0" collapsed="false">
      <c r="A1610" s="5" t="str">
        <f aca="false">HYPERLINK("https://www.fabsurplus.com/sdi_catalog/salesItemDetails.do?id=103183")</f>
        <v>https://www.fabsurplus.com/sdi_catalog/salesItemDetails.do?id=103183</v>
      </c>
      <c r="B1610" s="5" t="s">
        <v>4417</v>
      </c>
      <c r="C1610" s="5" t="s">
        <v>4418</v>
      </c>
      <c r="D1610" s="5" t="s">
        <v>4419</v>
      </c>
      <c r="E1610" s="5" t="s">
        <v>4420</v>
      </c>
      <c r="F1610" s="5" t="s">
        <v>16</v>
      </c>
      <c r="G1610" s="5" t="s">
        <v>499</v>
      </c>
      <c r="H1610" s="5"/>
      <c r="I1610" s="6" t="n">
        <v>37043</v>
      </c>
      <c r="J1610" s="5" t="s">
        <v>19</v>
      </c>
      <c r="K1610" s="5"/>
      <c r="L1610" s="7" t="s">
        <v>4421</v>
      </c>
    </row>
    <row r="1611" customFormat="false" ht="13.35" hidden="false" customHeight="true" outlineLevel="0" collapsed="false">
      <c r="A1611" s="5" t="str">
        <f aca="false">HYPERLINK("https://www.fabsurplus.com/sdi_catalog/salesItemDetails.do?id=102622")</f>
        <v>https://www.fabsurplus.com/sdi_catalog/salesItemDetails.do?id=102622</v>
      </c>
      <c r="B1611" s="5" t="s">
        <v>4422</v>
      </c>
      <c r="C1611" s="5" t="s">
        <v>4423</v>
      </c>
      <c r="D1611" s="5" t="s">
        <v>4424</v>
      </c>
      <c r="E1611" s="5" t="s">
        <v>4425</v>
      </c>
      <c r="F1611" s="5" t="s">
        <v>137</v>
      </c>
      <c r="G1611" s="5"/>
      <c r="H1611" s="5" t="s">
        <v>26</v>
      </c>
      <c r="I1611" s="5"/>
      <c r="J1611" s="5" t="s">
        <v>47</v>
      </c>
      <c r="K1611" s="5" t="s">
        <v>20</v>
      </c>
      <c r="L1611" s="7" t="s">
        <v>4426</v>
      </c>
    </row>
    <row r="1612" customFormat="false" ht="13.35" hidden="false" customHeight="true" outlineLevel="0" collapsed="false">
      <c r="A1612" s="2" t="str">
        <f aca="false">HYPERLINK("https://www.fabsurplus.com/sdi_catalog/salesItemDetails.do?id=98474")</f>
        <v>https://www.fabsurplus.com/sdi_catalog/salesItemDetails.do?id=98474</v>
      </c>
      <c r="B1612" s="2" t="s">
        <v>4427</v>
      </c>
      <c r="C1612" s="2" t="s">
        <v>4428</v>
      </c>
      <c r="D1612" s="2" t="s">
        <v>4429</v>
      </c>
      <c r="E1612" s="2" t="s">
        <v>4430</v>
      </c>
      <c r="F1612" s="2" t="s">
        <v>58</v>
      </c>
      <c r="G1612" s="2" t="s">
        <v>862</v>
      </c>
      <c r="H1612" s="2"/>
      <c r="I1612" s="2"/>
      <c r="J1612" s="2" t="s">
        <v>19</v>
      </c>
      <c r="K1612" s="2"/>
      <c r="L1612" s="2" t="s">
        <v>1417</v>
      </c>
    </row>
    <row r="1613" customFormat="false" ht="13.35" hidden="false" customHeight="true" outlineLevel="0" collapsed="false">
      <c r="A1613" s="5" t="str">
        <f aca="false">HYPERLINK("https://www.fabsurplus.com/sdi_catalog/salesItemDetails.do?id=98475")</f>
        <v>https://www.fabsurplus.com/sdi_catalog/salesItemDetails.do?id=98475</v>
      </c>
      <c r="B1613" s="5" t="s">
        <v>4431</v>
      </c>
      <c r="C1613" s="5" t="s">
        <v>4428</v>
      </c>
      <c r="D1613" s="5" t="s">
        <v>4432</v>
      </c>
      <c r="E1613" s="5" t="s">
        <v>4433</v>
      </c>
      <c r="F1613" s="5" t="s">
        <v>58</v>
      </c>
      <c r="G1613" s="5" t="s">
        <v>4434</v>
      </c>
      <c r="H1613" s="5"/>
      <c r="I1613" s="5"/>
      <c r="J1613" s="5" t="s">
        <v>19</v>
      </c>
      <c r="K1613" s="5"/>
      <c r="L1613" s="5" t="s">
        <v>1417</v>
      </c>
    </row>
    <row r="1614" customFormat="false" ht="13.35" hidden="false" customHeight="true" outlineLevel="0" collapsed="false">
      <c r="A1614" s="2" t="str">
        <f aca="false">HYPERLINK("https://www.fabsurplus.com/sdi_catalog/salesItemDetails.do?id=98476")</f>
        <v>https://www.fabsurplus.com/sdi_catalog/salesItemDetails.do?id=98476</v>
      </c>
      <c r="B1614" s="2" t="s">
        <v>4435</v>
      </c>
      <c r="C1614" s="2" t="s">
        <v>4428</v>
      </c>
      <c r="D1614" s="2" t="s">
        <v>4436</v>
      </c>
      <c r="E1614" s="2" t="s">
        <v>4437</v>
      </c>
      <c r="F1614" s="2" t="s">
        <v>125</v>
      </c>
      <c r="G1614" s="2" t="s">
        <v>862</v>
      </c>
      <c r="H1614" s="2"/>
      <c r="I1614" s="2"/>
      <c r="J1614" s="2" t="s">
        <v>19</v>
      </c>
      <c r="K1614" s="2"/>
      <c r="L1614" s="2" t="s">
        <v>1417</v>
      </c>
    </row>
    <row r="1615" customFormat="false" ht="13.35" hidden="false" customHeight="true" outlineLevel="0" collapsed="false">
      <c r="A1615" s="5" t="str">
        <f aca="false">HYPERLINK("https://www.fabsurplus.com/sdi_catalog/salesItemDetails.do?id=98477")</f>
        <v>https://www.fabsurplus.com/sdi_catalog/salesItemDetails.do?id=98477</v>
      </c>
      <c r="B1615" s="5" t="s">
        <v>4438</v>
      </c>
      <c r="C1615" s="5" t="s">
        <v>4428</v>
      </c>
      <c r="D1615" s="5" t="s">
        <v>4439</v>
      </c>
      <c r="E1615" s="5" t="s">
        <v>4440</v>
      </c>
      <c r="F1615" s="5" t="s">
        <v>125</v>
      </c>
      <c r="G1615" s="5" t="s">
        <v>862</v>
      </c>
      <c r="H1615" s="5"/>
      <c r="I1615" s="5"/>
      <c r="J1615" s="5" t="s">
        <v>19</v>
      </c>
      <c r="K1615" s="5"/>
      <c r="L1615" s="5" t="s">
        <v>1417</v>
      </c>
    </row>
    <row r="1616" customFormat="false" ht="13.35" hidden="false" customHeight="true" outlineLevel="0" collapsed="false">
      <c r="A1616" s="2" t="str">
        <f aca="false">HYPERLINK("https://www.fabsurplus.com/sdi_catalog/salesItemDetails.do?id=98478")</f>
        <v>https://www.fabsurplus.com/sdi_catalog/salesItemDetails.do?id=98478</v>
      </c>
      <c r="B1616" s="2" t="s">
        <v>4441</v>
      </c>
      <c r="C1616" s="2" t="s">
        <v>4428</v>
      </c>
      <c r="D1616" s="2" t="s">
        <v>4442</v>
      </c>
      <c r="E1616" s="2" t="s">
        <v>4440</v>
      </c>
      <c r="F1616" s="2" t="s">
        <v>16</v>
      </c>
      <c r="G1616" s="2" t="s">
        <v>862</v>
      </c>
      <c r="H1616" s="2"/>
      <c r="I1616" s="2"/>
      <c r="J1616" s="2" t="s">
        <v>19</v>
      </c>
      <c r="K1616" s="2"/>
      <c r="L1616" s="2" t="s">
        <v>1417</v>
      </c>
    </row>
    <row r="1617" customFormat="false" ht="13.35" hidden="false" customHeight="true" outlineLevel="0" collapsed="false">
      <c r="A1617" s="2" t="str">
        <f aca="false">HYPERLINK("https://www.fabsurplus.com/sdi_catalog/salesItemDetails.do?id=87574")</f>
        <v>https://www.fabsurplus.com/sdi_catalog/salesItemDetails.do?id=87574</v>
      </c>
      <c r="B1617" s="2" t="s">
        <v>4443</v>
      </c>
      <c r="C1617" s="2" t="s">
        <v>4444</v>
      </c>
      <c r="D1617" s="2" t="s">
        <v>4445</v>
      </c>
      <c r="E1617" s="2" t="s">
        <v>4446</v>
      </c>
      <c r="F1617" s="2" t="s">
        <v>16</v>
      </c>
      <c r="G1617" s="2"/>
      <c r="H1617" s="2"/>
      <c r="I1617" s="2"/>
      <c r="J1617" s="2" t="s">
        <v>19</v>
      </c>
      <c r="K1617" s="2"/>
      <c r="L1617" s="2"/>
    </row>
    <row r="1618" customFormat="false" ht="13.35" hidden="false" customHeight="true" outlineLevel="0" collapsed="false">
      <c r="A1618" s="5" t="str">
        <f aca="false">HYPERLINK("https://www.fabsurplus.com/sdi_catalog/salesItemDetails.do?id=102471")</f>
        <v>https://www.fabsurplus.com/sdi_catalog/salesItemDetails.do?id=102471</v>
      </c>
      <c r="B1618" s="5" t="s">
        <v>4447</v>
      </c>
      <c r="C1618" s="5" t="s">
        <v>4448</v>
      </c>
      <c r="D1618" s="5"/>
      <c r="E1618" s="5"/>
      <c r="F1618" s="5" t="s">
        <v>4449</v>
      </c>
      <c r="G1618" s="5"/>
      <c r="H1618" s="5"/>
      <c r="I1618" s="5"/>
      <c r="J1618" s="5"/>
      <c r="K1618" s="5"/>
      <c r="L1618" s="7" t="s">
        <v>4450</v>
      </c>
    </row>
    <row r="1619" customFormat="false" ht="13.35" hidden="false" customHeight="true" outlineLevel="0" collapsed="false">
      <c r="A1619" s="5" t="str">
        <f aca="false">HYPERLINK("https://www.fabsurplus.com/sdi_catalog/salesItemDetails.do?id=99421")</f>
        <v>https://www.fabsurplus.com/sdi_catalog/salesItemDetails.do?id=99421</v>
      </c>
      <c r="B1619" s="5" t="s">
        <v>4451</v>
      </c>
      <c r="C1619" s="5" t="s">
        <v>4452</v>
      </c>
      <c r="D1619" s="5" t="s">
        <v>4453</v>
      </c>
      <c r="E1619" s="5" t="s">
        <v>4454</v>
      </c>
      <c r="F1619" s="5" t="s">
        <v>4455</v>
      </c>
      <c r="G1619" s="5" t="s">
        <v>88</v>
      </c>
      <c r="H1619" s="5"/>
      <c r="I1619" s="5"/>
      <c r="J1619" s="5" t="s">
        <v>19</v>
      </c>
      <c r="K1619" s="5"/>
      <c r="L1619" s="5" t="s">
        <v>4412</v>
      </c>
    </row>
    <row r="1620" customFormat="false" ht="13.35" hidden="false" customHeight="true" outlineLevel="0" collapsed="false">
      <c r="A1620" s="2" t="str">
        <f aca="false">HYPERLINK("https://www.fabsurplus.com/sdi_catalog/salesItemDetails.do?id=87541")</f>
        <v>https://www.fabsurplus.com/sdi_catalog/salesItemDetails.do?id=87541</v>
      </c>
      <c r="B1620" s="2" t="s">
        <v>4456</v>
      </c>
      <c r="C1620" s="2" t="s">
        <v>4452</v>
      </c>
      <c r="D1620" s="2" t="s">
        <v>4457</v>
      </c>
      <c r="E1620" s="2" t="s">
        <v>4458</v>
      </c>
      <c r="F1620" s="2" t="s">
        <v>16</v>
      </c>
      <c r="G1620" s="2"/>
      <c r="H1620" s="2" t="s">
        <v>26</v>
      </c>
      <c r="I1620" s="2"/>
      <c r="J1620" s="2" t="s">
        <v>19</v>
      </c>
      <c r="K1620" s="2" t="s">
        <v>20</v>
      </c>
      <c r="L1620" s="4" t="s">
        <v>4459</v>
      </c>
    </row>
    <row r="1621" customFormat="false" ht="13.35" hidden="false" customHeight="true" outlineLevel="0" collapsed="false">
      <c r="A1621" s="5" t="str">
        <f aca="false">HYPERLINK("https://www.fabsurplus.com/sdi_catalog/salesItemDetails.do?id=101683")</f>
        <v>https://www.fabsurplus.com/sdi_catalog/salesItemDetails.do?id=101683</v>
      </c>
      <c r="B1621" s="5" t="s">
        <v>4460</v>
      </c>
      <c r="C1621" s="5" t="s">
        <v>4461</v>
      </c>
      <c r="D1621" s="5" t="s">
        <v>4462</v>
      </c>
      <c r="E1621" s="5" t="s">
        <v>41</v>
      </c>
      <c r="F1621" s="5" t="s">
        <v>125</v>
      </c>
      <c r="G1621" s="5"/>
      <c r="H1621" s="5"/>
      <c r="I1621" s="5"/>
      <c r="J1621" s="5" t="s">
        <v>47</v>
      </c>
      <c r="K1621" s="5"/>
      <c r="L1621" s="5" t="s">
        <v>474</v>
      </c>
    </row>
    <row r="1622" customFormat="false" ht="13.35" hidden="false" customHeight="true" outlineLevel="0" collapsed="false">
      <c r="A1622" s="2" t="str">
        <f aca="false">HYPERLINK("https://www.fabsurplus.com/sdi_catalog/salesItemDetails.do?id=64264")</f>
        <v>https://www.fabsurplus.com/sdi_catalog/salesItemDetails.do?id=64264</v>
      </c>
      <c r="B1622" s="2" t="s">
        <v>4463</v>
      </c>
      <c r="C1622" s="2" t="s">
        <v>4461</v>
      </c>
      <c r="D1622" s="2" t="s">
        <v>4464</v>
      </c>
      <c r="E1622" s="2" t="s">
        <v>4465</v>
      </c>
      <c r="F1622" s="2" t="s">
        <v>16</v>
      </c>
      <c r="G1622" s="2" t="s">
        <v>36</v>
      </c>
      <c r="H1622" s="2" t="s">
        <v>26</v>
      </c>
      <c r="I1622" s="2"/>
      <c r="J1622" s="2" t="s">
        <v>19</v>
      </c>
      <c r="K1622" s="2" t="s">
        <v>20</v>
      </c>
      <c r="L1622" s="4" t="s">
        <v>4466</v>
      </c>
    </row>
    <row r="1623" customFormat="false" ht="13.35" hidden="false" customHeight="true" outlineLevel="0" collapsed="false">
      <c r="A1623" s="2" t="str">
        <f aca="false">HYPERLINK("https://www.fabsurplus.com/sdi_catalog/salesItemDetails.do?id=99422")</f>
        <v>https://www.fabsurplus.com/sdi_catalog/salesItemDetails.do?id=99422</v>
      </c>
      <c r="B1623" s="2" t="s">
        <v>4467</v>
      </c>
      <c r="C1623" s="2" t="s">
        <v>4468</v>
      </c>
      <c r="D1623" s="2" t="s">
        <v>4469</v>
      </c>
      <c r="E1623" s="2" t="s">
        <v>4470</v>
      </c>
      <c r="F1623" s="2" t="s">
        <v>125</v>
      </c>
      <c r="G1623" s="2"/>
      <c r="H1623" s="2"/>
      <c r="I1623" s="2"/>
      <c r="J1623" s="2" t="s">
        <v>19</v>
      </c>
      <c r="K1623" s="2"/>
      <c r="L1623" s="2" t="s">
        <v>4412</v>
      </c>
    </row>
    <row r="1624" customFormat="false" ht="13.35" hidden="false" customHeight="true" outlineLevel="0" collapsed="false">
      <c r="A1624" s="2" t="str">
        <f aca="false">HYPERLINK("https://www.fabsurplus.com/sdi_catalog/salesItemDetails.do?id=102972")</f>
        <v>https://www.fabsurplus.com/sdi_catalog/salesItemDetails.do?id=102972</v>
      </c>
      <c r="B1624" s="2" t="s">
        <v>4471</v>
      </c>
      <c r="C1624" s="2" t="s">
        <v>4472</v>
      </c>
      <c r="D1624" s="2" t="s">
        <v>4473</v>
      </c>
      <c r="E1624" s="2" t="s">
        <v>4474</v>
      </c>
      <c r="F1624" s="2" t="s">
        <v>16</v>
      </c>
      <c r="G1624" s="2" t="s">
        <v>17</v>
      </c>
      <c r="H1624" s="2"/>
      <c r="I1624" s="2"/>
      <c r="J1624" s="2" t="s">
        <v>19</v>
      </c>
      <c r="K1624" s="2"/>
      <c r="L1624" s="2"/>
    </row>
    <row r="1625" customFormat="false" ht="13.35" hidden="false" customHeight="true" outlineLevel="0" collapsed="false">
      <c r="A1625" s="2" t="str">
        <f aca="false">HYPERLINK("https://www.fabsurplus.com/sdi_catalog/salesItemDetails.do?id=102293")</f>
        <v>https://www.fabsurplus.com/sdi_catalog/salesItemDetails.do?id=102293</v>
      </c>
      <c r="B1625" s="2" t="s">
        <v>4475</v>
      </c>
      <c r="C1625" s="2" t="s">
        <v>4476</v>
      </c>
      <c r="D1625" s="2" t="s">
        <v>4477</v>
      </c>
      <c r="E1625" s="2" t="s">
        <v>4478</v>
      </c>
      <c r="F1625" s="2" t="s">
        <v>16</v>
      </c>
      <c r="G1625" s="2"/>
      <c r="H1625" s="2"/>
      <c r="I1625" s="3" t="n">
        <v>41426</v>
      </c>
      <c r="J1625" s="2" t="s">
        <v>19</v>
      </c>
      <c r="K1625" s="2"/>
      <c r="L1625" s="2"/>
    </row>
    <row r="1626" customFormat="false" ht="13.35" hidden="false" customHeight="true" outlineLevel="0" collapsed="false">
      <c r="A1626" s="2" t="str">
        <f aca="false">HYPERLINK("https://www.fabsurplus.com/sdi_catalog/salesItemDetails.do?id=102527")</f>
        <v>https://www.fabsurplus.com/sdi_catalog/salesItemDetails.do?id=102527</v>
      </c>
      <c r="B1626" s="2" t="s">
        <v>4479</v>
      </c>
      <c r="C1626" s="2" t="s">
        <v>4480</v>
      </c>
      <c r="D1626" s="2" t="s">
        <v>4481</v>
      </c>
      <c r="E1626" s="2" t="s">
        <v>4482</v>
      </c>
      <c r="F1626" s="2" t="s">
        <v>125</v>
      </c>
      <c r="G1626" s="2"/>
      <c r="H1626" s="2"/>
      <c r="I1626" s="2"/>
      <c r="J1626" s="2" t="s">
        <v>47</v>
      </c>
      <c r="K1626" s="2"/>
      <c r="L1626" s="2"/>
    </row>
    <row r="1627" customFormat="false" ht="13.35" hidden="false" customHeight="true" outlineLevel="0" collapsed="false">
      <c r="A1627" s="5" t="str">
        <f aca="false">HYPERLINK("https://www.fabsurplus.com/sdi_catalog/salesItemDetails.do?id=102973")</f>
        <v>https://www.fabsurplus.com/sdi_catalog/salesItemDetails.do?id=102973</v>
      </c>
      <c r="B1627" s="5" t="s">
        <v>4483</v>
      </c>
      <c r="C1627" s="5" t="s">
        <v>4484</v>
      </c>
      <c r="D1627" s="5" t="s">
        <v>4485</v>
      </c>
      <c r="E1627" s="5" t="s">
        <v>4486</v>
      </c>
      <c r="F1627" s="5" t="s">
        <v>16</v>
      </c>
      <c r="G1627" s="5" t="s">
        <v>499</v>
      </c>
      <c r="H1627" s="5"/>
      <c r="I1627" s="6" t="n">
        <v>37408</v>
      </c>
      <c r="J1627" s="5" t="s">
        <v>19</v>
      </c>
      <c r="K1627" s="5"/>
      <c r="L1627" s="5"/>
    </row>
    <row r="1628" customFormat="false" ht="13.35" hidden="false" customHeight="true" outlineLevel="0" collapsed="false">
      <c r="A1628" s="2" t="str">
        <f aca="false">HYPERLINK("https://www.fabsurplus.com/sdi_catalog/salesItemDetails.do?id=86466")</f>
        <v>https://www.fabsurplus.com/sdi_catalog/salesItemDetails.do?id=86466</v>
      </c>
      <c r="B1628" s="2" t="s">
        <v>4487</v>
      </c>
      <c r="C1628" s="2" t="s">
        <v>4488</v>
      </c>
      <c r="D1628" s="2" t="s">
        <v>4489</v>
      </c>
      <c r="E1628" s="2" t="s">
        <v>4490</v>
      </c>
      <c r="F1628" s="2" t="s">
        <v>125</v>
      </c>
      <c r="G1628" s="2" t="s">
        <v>2762</v>
      </c>
      <c r="H1628" s="2" t="s">
        <v>26</v>
      </c>
      <c r="I1628" s="3" t="n">
        <v>37408</v>
      </c>
      <c r="J1628" s="2" t="s">
        <v>19</v>
      </c>
      <c r="K1628" s="2" t="s">
        <v>20</v>
      </c>
      <c r="L1628" s="4" t="s">
        <v>4491</v>
      </c>
    </row>
    <row r="1629" customFormat="false" ht="13.35" hidden="false" customHeight="true" outlineLevel="0" collapsed="false">
      <c r="A1629" s="2" t="str">
        <f aca="false">HYPERLINK("https://www.fabsurplus.com/sdi_catalog/salesItemDetails.do?id=96009")</f>
        <v>https://www.fabsurplus.com/sdi_catalog/salesItemDetails.do?id=96009</v>
      </c>
      <c r="B1629" s="2" t="s">
        <v>4492</v>
      </c>
      <c r="C1629" s="2" t="s">
        <v>4484</v>
      </c>
      <c r="D1629" s="2" t="s">
        <v>4493</v>
      </c>
      <c r="E1629" s="2" t="s">
        <v>4486</v>
      </c>
      <c r="F1629" s="2" t="s">
        <v>16</v>
      </c>
      <c r="G1629" s="2" t="s">
        <v>499</v>
      </c>
      <c r="H1629" s="2"/>
      <c r="I1629" s="3" t="n">
        <v>35947</v>
      </c>
      <c r="J1629" s="2" t="s">
        <v>19</v>
      </c>
      <c r="K1629" s="2"/>
      <c r="L1629" s="4" t="s">
        <v>209</v>
      </c>
    </row>
    <row r="1630" customFormat="false" ht="13.35" hidden="false" customHeight="true" outlineLevel="0" collapsed="false">
      <c r="A1630" s="5" t="str">
        <f aca="false">HYPERLINK("https://www.fabsurplus.com/sdi_catalog/salesItemDetails.do?id=88050")</f>
        <v>https://www.fabsurplus.com/sdi_catalog/salesItemDetails.do?id=88050</v>
      </c>
      <c r="B1630" s="5" t="s">
        <v>4494</v>
      </c>
      <c r="C1630" s="5" t="s">
        <v>4495</v>
      </c>
      <c r="D1630" s="5" t="s">
        <v>4496</v>
      </c>
      <c r="E1630" s="5" t="s">
        <v>87</v>
      </c>
      <c r="F1630" s="5" t="s">
        <v>125</v>
      </c>
      <c r="G1630" s="5" t="s">
        <v>88</v>
      </c>
      <c r="H1630" s="5"/>
      <c r="I1630" s="5"/>
      <c r="J1630" s="5" t="s">
        <v>19</v>
      </c>
      <c r="K1630" s="5"/>
      <c r="L1630" s="5" t="s">
        <v>89</v>
      </c>
    </row>
    <row r="1631" customFormat="false" ht="13.35" hidden="false" customHeight="true" outlineLevel="0" collapsed="false">
      <c r="A1631" s="2" t="str">
        <f aca="false">HYPERLINK("https://www.fabsurplus.com/sdi_catalog/salesItemDetails.do?id=88051")</f>
        <v>https://www.fabsurplus.com/sdi_catalog/salesItemDetails.do?id=88051</v>
      </c>
      <c r="B1631" s="2" t="s">
        <v>4497</v>
      </c>
      <c r="C1631" s="2" t="s">
        <v>4495</v>
      </c>
      <c r="D1631" s="2" t="s">
        <v>4498</v>
      </c>
      <c r="E1631" s="2" t="s">
        <v>87</v>
      </c>
      <c r="F1631" s="2" t="s">
        <v>366</v>
      </c>
      <c r="G1631" s="2" t="s">
        <v>88</v>
      </c>
      <c r="H1631" s="2"/>
      <c r="I1631" s="2"/>
      <c r="J1631" s="2" t="s">
        <v>19</v>
      </c>
      <c r="K1631" s="2"/>
      <c r="L1631" s="2" t="s">
        <v>89</v>
      </c>
    </row>
    <row r="1632" customFormat="false" ht="13.35" hidden="false" customHeight="true" outlineLevel="0" collapsed="false">
      <c r="A1632" s="5" t="str">
        <f aca="false">HYPERLINK("https://www.fabsurplus.com/sdi_catalog/salesItemDetails.do?id=88052")</f>
        <v>https://www.fabsurplus.com/sdi_catalog/salesItemDetails.do?id=88052</v>
      </c>
      <c r="B1632" s="5" t="s">
        <v>4499</v>
      </c>
      <c r="C1632" s="5" t="s">
        <v>4495</v>
      </c>
      <c r="D1632" s="5" t="s">
        <v>4500</v>
      </c>
      <c r="E1632" s="5" t="s">
        <v>87</v>
      </c>
      <c r="F1632" s="5" t="s">
        <v>16</v>
      </c>
      <c r="G1632" s="5" t="s">
        <v>88</v>
      </c>
      <c r="H1632" s="5"/>
      <c r="I1632" s="5"/>
      <c r="J1632" s="5" t="s">
        <v>19</v>
      </c>
      <c r="K1632" s="5"/>
      <c r="L1632" s="5" t="s">
        <v>89</v>
      </c>
    </row>
    <row r="1633" customFormat="false" ht="13.35" hidden="false" customHeight="true" outlineLevel="0" collapsed="false">
      <c r="A1633" s="2" t="str">
        <f aca="false">HYPERLINK("https://www.fabsurplus.com/sdi_catalog/salesItemDetails.do?id=88053")</f>
        <v>https://www.fabsurplus.com/sdi_catalog/salesItemDetails.do?id=88053</v>
      </c>
      <c r="B1633" s="2" t="s">
        <v>4501</v>
      </c>
      <c r="C1633" s="2" t="s">
        <v>4495</v>
      </c>
      <c r="D1633" s="2" t="s">
        <v>4502</v>
      </c>
      <c r="E1633" s="2" t="s">
        <v>87</v>
      </c>
      <c r="F1633" s="2" t="s">
        <v>16</v>
      </c>
      <c r="G1633" s="2" t="s">
        <v>88</v>
      </c>
      <c r="H1633" s="2"/>
      <c r="I1633" s="2"/>
      <c r="J1633" s="2" t="s">
        <v>19</v>
      </c>
      <c r="K1633" s="2"/>
      <c r="L1633" s="2" t="s">
        <v>89</v>
      </c>
    </row>
    <row r="1634" customFormat="false" ht="13.35" hidden="false" customHeight="true" outlineLevel="0" collapsed="false">
      <c r="A1634" s="5" t="str">
        <f aca="false">HYPERLINK("https://www.fabsurplus.com/sdi_catalog/salesItemDetails.do?id=88054")</f>
        <v>https://www.fabsurplus.com/sdi_catalog/salesItemDetails.do?id=88054</v>
      </c>
      <c r="B1634" s="5" t="s">
        <v>4503</v>
      </c>
      <c r="C1634" s="5" t="s">
        <v>4495</v>
      </c>
      <c r="D1634" s="5" t="s">
        <v>4504</v>
      </c>
      <c r="E1634" s="5" t="s">
        <v>87</v>
      </c>
      <c r="F1634" s="5" t="s">
        <v>16</v>
      </c>
      <c r="G1634" s="5" t="s">
        <v>88</v>
      </c>
      <c r="H1634" s="5"/>
      <c r="I1634" s="5"/>
      <c r="J1634" s="5" t="s">
        <v>19</v>
      </c>
      <c r="K1634" s="5"/>
      <c r="L1634" s="5" t="s">
        <v>89</v>
      </c>
    </row>
    <row r="1635" customFormat="false" ht="13.35" hidden="false" customHeight="true" outlineLevel="0" collapsed="false">
      <c r="A1635" s="2" t="str">
        <f aca="false">HYPERLINK("https://www.fabsurplus.com/sdi_catalog/salesItemDetails.do?id=88055")</f>
        <v>https://www.fabsurplus.com/sdi_catalog/salesItemDetails.do?id=88055</v>
      </c>
      <c r="B1635" s="2" t="s">
        <v>4505</v>
      </c>
      <c r="C1635" s="2" t="s">
        <v>4495</v>
      </c>
      <c r="D1635" s="2" t="s">
        <v>4506</v>
      </c>
      <c r="E1635" s="2" t="s">
        <v>87</v>
      </c>
      <c r="F1635" s="2" t="s">
        <v>366</v>
      </c>
      <c r="G1635" s="2" t="s">
        <v>88</v>
      </c>
      <c r="H1635" s="2"/>
      <c r="I1635" s="2"/>
      <c r="J1635" s="2" t="s">
        <v>19</v>
      </c>
      <c r="K1635" s="2"/>
      <c r="L1635" s="2" t="s">
        <v>89</v>
      </c>
    </row>
    <row r="1636" customFormat="false" ht="13.35" hidden="false" customHeight="true" outlineLevel="0" collapsed="false">
      <c r="A1636" s="5" t="str">
        <f aca="false">HYPERLINK("https://www.fabsurplus.com/sdi_catalog/salesItemDetails.do?id=88056")</f>
        <v>https://www.fabsurplus.com/sdi_catalog/salesItemDetails.do?id=88056</v>
      </c>
      <c r="B1636" s="5" t="s">
        <v>4507</v>
      </c>
      <c r="C1636" s="5" t="s">
        <v>4495</v>
      </c>
      <c r="D1636" s="5" t="s">
        <v>4508</v>
      </c>
      <c r="E1636" s="5" t="s">
        <v>87</v>
      </c>
      <c r="F1636" s="5" t="s">
        <v>16</v>
      </c>
      <c r="G1636" s="5" t="s">
        <v>88</v>
      </c>
      <c r="H1636" s="5"/>
      <c r="I1636" s="5"/>
      <c r="J1636" s="5" t="s">
        <v>19</v>
      </c>
      <c r="K1636" s="5"/>
      <c r="L1636" s="5" t="s">
        <v>89</v>
      </c>
    </row>
    <row r="1637" customFormat="false" ht="13.35" hidden="false" customHeight="true" outlineLevel="0" collapsed="false">
      <c r="A1637" s="2" t="str">
        <f aca="false">HYPERLINK("https://www.fabsurplus.com/sdi_catalog/salesItemDetails.do?id=88057")</f>
        <v>https://www.fabsurplus.com/sdi_catalog/salesItemDetails.do?id=88057</v>
      </c>
      <c r="B1637" s="2" t="s">
        <v>4509</v>
      </c>
      <c r="C1637" s="2" t="s">
        <v>4495</v>
      </c>
      <c r="D1637" s="2" t="s">
        <v>4510</v>
      </c>
      <c r="E1637" s="2" t="s">
        <v>87</v>
      </c>
      <c r="F1637" s="2" t="s">
        <v>125</v>
      </c>
      <c r="G1637" s="2" t="s">
        <v>88</v>
      </c>
      <c r="H1637" s="2"/>
      <c r="I1637" s="2"/>
      <c r="J1637" s="2" t="s">
        <v>19</v>
      </c>
      <c r="K1637" s="2"/>
      <c r="L1637" s="2" t="s">
        <v>89</v>
      </c>
    </row>
    <row r="1638" customFormat="false" ht="13.35" hidden="false" customHeight="true" outlineLevel="0" collapsed="false">
      <c r="A1638" s="5" t="str">
        <f aca="false">HYPERLINK("https://www.fabsurplus.com/sdi_catalog/salesItemDetails.do?id=88058")</f>
        <v>https://www.fabsurplus.com/sdi_catalog/salesItemDetails.do?id=88058</v>
      </c>
      <c r="B1638" s="5" t="s">
        <v>4511</v>
      </c>
      <c r="C1638" s="5" t="s">
        <v>4495</v>
      </c>
      <c r="D1638" s="5" t="s">
        <v>4512</v>
      </c>
      <c r="E1638" s="5" t="s">
        <v>87</v>
      </c>
      <c r="F1638" s="5" t="s">
        <v>16</v>
      </c>
      <c r="G1638" s="5" t="s">
        <v>88</v>
      </c>
      <c r="H1638" s="5"/>
      <c r="I1638" s="5"/>
      <c r="J1638" s="5" t="s">
        <v>19</v>
      </c>
      <c r="K1638" s="5"/>
      <c r="L1638" s="5" t="s">
        <v>89</v>
      </c>
    </row>
    <row r="1639" customFormat="false" ht="13.35" hidden="false" customHeight="true" outlineLevel="0" collapsed="false">
      <c r="A1639" s="2" t="str">
        <f aca="false">HYPERLINK("https://www.fabsurplus.com/sdi_catalog/salesItemDetails.do?id=88059")</f>
        <v>https://www.fabsurplus.com/sdi_catalog/salesItemDetails.do?id=88059</v>
      </c>
      <c r="B1639" s="2" t="s">
        <v>4513</v>
      </c>
      <c r="C1639" s="2" t="s">
        <v>4495</v>
      </c>
      <c r="D1639" s="2" t="s">
        <v>4514</v>
      </c>
      <c r="E1639" s="2" t="s">
        <v>87</v>
      </c>
      <c r="F1639" s="2" t="s">
        <v>16</v>
      </c>
      <c r="G1639" s="2" t="s">
        <v>88</v>
      </c>
      <c r="H1639" s="2"/>
      <c r="I1639" s="2"/>
      <c r="J1639" s="2" t="s">
        <v>19</v>
      </c>
      <c r="K1639" s="2"/>
      <c r="L1639" s="2" t="s">
        <v>89</v>
      </c>
    </row>
    <row r="1640" customFormat="false" ht="13.35" hidden="false" customHeight="true" outlineLevel="0" collapsed="false">
      <c r="A1640" s="5" t="str">
        <f aca="false">HYPERLINK("https://www.fabsurplus.com/sdi_catalog/salesItemDetails.do?id=88060")</f>
        <v>https://www.fabsurplus.com/sdi_catalog/salesItemDetails.do?id=88060</v>
      </c>
      <c r="B1640" s="5" t="s">
        <v>4515</v>
      </c>
      <c r="C1640" s="5" t="s">
        <v>4495</v>
      </c>
      <c r="D1640" s="5" t="s">
        <v>4516</v>
      </c>
      <c r="E1640" s="5" t="s">
        <v>87</v>
      </c>
      <c r="F1640" s="5" t="s">
        <v>4517</v>
      </c>
      <c r="G1640" s="5" t="s">
        <v>88</v>
      </c>
      <c r="H1640" s="5"/>
      <c r="I1640" s="5"/>
      <c r="J1640" s="5" t="s">
        <v>19</v>
      </c>
      <c r="K1640" s="5"/>
      <c r="L1640" s="5" t="s">
        <v>89</v>
      </c>
    </row>
    <row r="1641" customFormat="false" ht="13.35" hidden="false" customHeight="true" outlineLevel="0" collapsed="false">
      <c r="A1641" s="2" t="str">
        <f aca="false">HYPERLINK("https://www.fabsurplus.com/sdi_catalog/salesItemDetails.do?id=88061")</f>
        <v>https://www.fabsurplus.com/sdi_catalog/salesItemDetails.do?id=88061</v>
      </c>
      <c r="B1641" s="2" t="s">
        <v>4518</v>
      </c>
      <c r="C1641" s="2" t="s">
        <v>4495</v>
      </c>
      <c r="D1641" s="2" t="s">
        <v>4519</v>
      </c>
      <c r="E1641" s="2" t="s">
        <v>87</v>
      </c>
      <c r="F1641" s="2" t="s">
        <v>16</v>
      </c>
      <c r="G1641" s="2" t="s">
        <v>88</v>
      </c>
      <c r="H1641" s="2"/>
      <c r="I1641" s="2"/>
      <c r="J1641" s="2" t="s">
        <v>19</v>
      </c>
      <c r="K1641" s="2"/>
      <c r="L1641" s="2" t="s">
        <v>89</v>
      </c>
    </row>
    <row r="1642" customFormat="false" ht="13.35" hidden="false" customHeight="true" outlineLevel="0" collapsed="false">
      <c r="A1642" s="5" t="str">
        <f aca="false">HYPERLINK("https://www.fabsurplus.com/sdi_catalog/salesItemDetails.do?id=88062")</f>
        <v>https://www.fabsurplus.com/sdi_catalog/salesItemDetails.do?id=88062</v>
      </c>
      <c r="B1642" s="5" t="s">
        <v>4520</v>
      </c>
      <c r="C1642" s="5" t="s">
        <v>4495</v>
      </c>
      <c r="D1642" s="5" t="s">
        <v>4521</v>
      </c>
      <c r="E1642" s="5" t="s">
        <v>87</v>
      </c>
      <c r="F1642" s="5" t="s">
        <v>2000</v>
      </c>
      <c r="G1642" s="5" t="s">
        <v>88</v>
      </c>
      <c r="H1642" s="5"/>
      <c r="I1642" s="5"/>
      <c r="J1642" s="5" t="s">
        <v>19</v>
      </c>
      <c r="K1642" s="5"/>
      <c r="L1642" s="5" t="s">
        <v>89</v>
      </c>
    </row>
    <row r="1643" customFormat="false" ht="13.35" hidden="false" customHeight="true" outlineLevel="0" collapsed="false">
      <c r="A1643" s="2" t="str">
        <f aca="false">HYPERLINK("https://www.fabsurplus.com/sdi_catalog/salesItemDetails.do?id=88063")</f>
        <v>https://www.fabsurplus.com/sdi_catalog/salesItemDetails.do?id=88063</v>
      </c>
      <c r="B1643" s="2" t="s">
        <v>4522</v>
      </c>
      <c r="C1643" s="2" t="s">
        <v>4495</v>
      </c>
      <c r="D1643" s="2" t="s">
        <v>4523</v>
      </c>
      <c r="E1643" s="2" t="s">
        <v>87</v>
      </c>
      <c r="F1643" s="2" t="s">
        <v>176</v>
      </c>
      <c r="G1643" s="2" t="s">
        <v>88</v>
      </c>
      <c r="H1643" s="2"/>
      <c r="I1643" s="2"/>
      <c r="J1643" s="2" t="s">
        <v>19</v>
      </c>
      <c r="K1643" s="2"/>
      <c r="L1643" s="2" t="s">
        <v>89</v>
      </c>
    </row>
    <row r="1644" customFormat="false" ht="13.35" hidden="false" customHeight="true" outlineLevel="0" collapsed="false">
      <c r="A1644" s="2" t="str">
        <f aca="false">HYPERLINK("https://www.fabsurplus.com/sdi_catalog/salesItemDetails.do?id=88064")</f>
        <v>https://www.fabsurplus.com/sdi_catalog/salesItemDetails.do?id=88064</v>
      </c>
      <c r="B1644" s="2" t="s">
        <v>4524</v>
      </c>
      <c r="C1644" s="2" t="s">
        <v>4495</v>
      </c>
      <c r="D1644" s="2" t="s">
        <v>4525</v>
      </c>
      <c r="E1644" s="2" t="s">
        <v>87</v>
      </c>
      <c r="F1644" s="2" t="s">
        <v>125</v>
      </c>
      <c r="G1644" s="2" t="s">
        <v>88</v>
      </c>
      <c r="H1644" s="2"/>
      <c r="I1644" s="2"/>
      <c r="J1644" s="2" t="s">
        <v>19</v>
      </c>
      <c r="K1644" s="2"/>
      <c r="L1644" s="2" t="s">
        <v>89</v>
      </c>
    </row>
    <row r="1645" customFormat="false" ht="13.35" hidden="false" customHeight="true" outlineLevel="0" collapsed="false">
      <c r="A1645" s="5" t="str">
        <f aca="false">HYPERLINK("https://www.fabsurplus.com/sdi_catalog/salesItemDetails.do?id=88065")</f>
        <v>https://www.fabsurplus.com/sdi_catalog/salesItemDetails.do?id=88065</v>
      </c>
      <c r="B1645" s="5" t="s">
        <v>4526</v>
      </c>
      <c r="C1645" s="5" t="s">
        <v>4495</v>
      </c>
      <c r="D1645" s="5" t="s">
        <v>4527</v>
      </c>
      <c r="E1645" s="5" t="s">
        <v>87</v>
      </c>
      <c r="F1645" s="5" t="s">
        <v>58</v>
      </c>
      <c r="G1645" s="5" t="s">
        <v>88</v>
      </c>
      <c r="H1645" s="5"/>
      <c r="I1645" s="5"/>
      <c r="J1645" s="5" t="s">
        <v>19</v>
      </c>
      <c r="K1645" s="5"/>
      <c r="L1645" s="5" t="s">
        <v>89</v>
      </c>
    </row>
    <row r="1646" customFormat="false" ht="13.35" hidden="false" customHeight="true" outlineLevel="0" collapsed="false">
      <c r="A1646" s="5" t="str">
        <f aca="false">HYPERLINK("https://www.fabsurplus.com/sdi_catalog/salesItemDetails.do?id=88066")</f>
        <v>https://www.fabsurplus.com/sdi_catalog/salesItemDetails.do?id=88066</v>
      </c>
      <c r="B1646" s="5" t="s">
        <v>4528</v>
      </c>
      <c r="C1646" s="5" t="s">
        <v>4495</v>
      </c>
      <c r="D1646" s="5" t="s">
        <v>4529</v>
      </c>
      <c r="E1646" s="5" t="s">
        <v>87</v>
      </c>
      <c r="F1646" s="5" t="s">
        <v>16</v>
      </c>
      <c r="G1646" s="5" t="s">
        <v>88</v>
      </c>
      <c r="H1646" s="5"/>
      <c r="I1646" s="5"/>
      <c r="J1646" s="5" t="s">
        <v>19</v>
      </c>
      <c r="K1646" s="5"/>
      <c r="L1646" s="5" t="s">
        <v>89</v>
      </c>
    </row>
    <row r="1647" customFormat="false" ht="13.35" hidden="false" customHeight="true" outlineLevel="0" collapsed="false">
      <c r="A1647" s="5" t="str">
        <f aca="false">HYPERLINK("https://www.fabsurplus.com/sdi_catalog/salesItemDetails.do?id=101706")</f>
        <v>https://www.fabsurplus.com/sdi_catalog/salesItemDetails.do?id=101706</v>
      </c>
      <c r="B1647" s="5" t="s">
        <v>4530</v>
      </c>
      <c r="C1647" s="5" t="s">
        <v>4495</v>
      </c>
      <c r="D1647" s="5" t="s">
        <v>4531</v>
      </c>
      <c r="E1647" s="5" t="s">
        <v>4532</v>
      </c>
      <c r="F1647" s="5" t="s">
        <v>16</v>
      </c>
      <c r="G1647" s="5" t="s">
        <v>149</v>
      </c>
      <c r="H1647" s="5" t="s">
        <v>26</v>
      </c>
      <c r="I1647" s="5"/>
      <c r="J1647" s="5" t="s">
        <v>19</v>
      </c>
      <c r="K1647" s="5" t="s">
        <v>20</v>
      </c>
      <c r="L1647" s="5" t="s">
        <v>177</v>
      </c>
    </row>
    <row r="1648" customFormat="false" ht="13.35" hidden="false" customHeight="true" outlineLevel="0" collapsed="false">
      <c r="A1648" s="2" t="str">
        <f aca="false">HYPERLINK("https://www.fabsurplus.com/sdi_catalog/salesItemDetails.do?id=88068")</f>
        <v>https://www.fabsurplus.com/sdi_catalog/salesItemDetails.do?id=88068</v>
      </c>
      <c r="B1648" s="2" t="s">
        <v>4533</v>
      </c>
      <c r="C1648" s="2" t="s">
        <v>4495</v>
      </c>
      <c r="D1648" s="2" t="s">
        <v>4534</v>
      </c>
      <c r="E1648" s="2" t="s">
        <v>87</v>
      </c>
      <c r="F1648" s="2" t="s">
        <v>16</v>
      </c>
      <c r="G1648" s="2" t="s">
        <v>88</v>
      </c>
      <c r="H1648" s="2"/>
      <c r="I1648" s="2"/>
      <c r="J1648" s="2" t="s">
        <v>19</v>
      </c>
      <c r="K1648" s="2"/>
      <c r="L1648" s="2" t="s">
        <v>89</v>
      </c>
    </row>
    <row r="1649" customFormat="false" ht="13.35" hidden="false" customHeight="true" outlineLevel="0" collapsed="false">
      <c r="A1649" s="5" t="str">
        <f aca="false">HYPERLINK("https://www.fabsurplus.com/sdi_catalog/salesItemDetails.do?id=88069")</f>
        <v>https://www.fabsurplus.com/sdi_catalog/salesItemDetails.do?id=88069</v>
      </c>
      <c r="B1649" s="5" t="s">
        <v>4535</v>
      </c>
      <c r="C1649" s="5" t="s">
        <v>4495</v>
      </c>
      <c r="D1649" s="5" t="s">
        <v>4536</v>
      </c>
      <c r="E1649" s="5" t="s">
        <v>87</v>
      </c>
      <c r="F1649" s="5" t="s">
        <v>16</v>
      </c>
      <c r="G1649" s="5" t="s">
        <v>88</v>
      </c>
      <c r="H1649" s="5"/>
      <c r="I1649" s="5"/>
      <c r="J1649" s="5" t="s">
        <v>19</v>
      </c>
      <c r="K1649" s="5"/>
      <c r="L1649" s="5" t="s">
        <v>89</v>
      </c>
    </row>
    <row r="1650" customFormat="false" ht="13.35" hidden="false" customHeight="true" outlineLevel="0" collapsed="false">
      <c r="A1650" s="2" t="str">
        <f aca="false">HYPERLINK("https://www.fabsurplus.com/sdi_catalog/salesItemDetails.do?id=88070")</f>
        <v>https://www.fabsurplus.com/sdi_catalog/salesItemDetails.do?id=88070</v>
      </c>
      <c r="B1650" s="2" t="s">
        <v>4537</v>
      </c>
      <c r="C1650" s="2" t="s">
        <v>4495</v>
      </c>
      <c r="D1650" s="2" t="s">
        <v>4538</v>
      </c>
      <c r="E1650" s="2" t="s">
        <v>87</v>
      </c>
      <c r="F1650" s="2" t="s">
        <v>16</v>
      </c>
      <c r="G1650" s="2" t="s">
        <v>88</v>
      </c>
      <c r="H1650" s="2"/>
      <c r="I1650" s="2"/>
      <c r="J1650" s="2" t="s">
        <v>19</v>
      </c>
      <c r="K1650" s="2"/>
      <c r="L1650" s="2" t="s">
        <v>89</v>
      </c>
    </row>
    <row r="1651" customFormat="false" ht="13.35" hidden="false" customHeight="true" outlineLevel="0" collapsed="false">
      <c r="A1651" s="5" t="str">
        <f aca="false">HYPERLINK("https://www.fabsurplus.com/sdi_catalog/salesItemDetails.do?id=88071")</f>
        <v>https://www.fabsurplus.com/sdi_catalog/salesItemDetails.do?id=88071</v>
      </c>
      <c r="B1651" s="5" t="s">
        <v>4539</v>
      </c>
      <c r="C1651" s="5" t="s">
        <v>4495</v>
      </c>
      <c r="D1651" s="5" t="s">
        <v>4540</v>
      </c>
      <c r="E1651" s="5" t="s">
        <v>87</v>
      </c>
      <c r="F1651" s="5" t="s">
        <v>125</v>
      </c>
      <c r="G1651" s="5" t="s">
        <v>88</v>
      </c>
      <c r="H1651" s="5"/>
      <c r="I1651" s="5"/>
      <c r="J1651" s="5" t="s">
        <v>19</v>
      </c>
      <c r="K1651" s="5"/>
      <c r="L1651" s="5" t="s">
        <v>89</v>
      </c>
    </row>
    <row r="1652" customFormat="false" ht="13.35" hidden="false" customHeight="true" outlineLevel="0" collapsed="false">
      <c r="A1652" s="2" t="str">
        <f aca="false">HYPERLINK("https://www.fabsurplus.com/sdi_catalog/salesItemDetails.do?id=88073")</f>
        <v>https://www.fabsurplus.com/sdi_catalog/salesItemDetails.do?id=88073</v>
      </c>
      <c r="B1652" s="2" t="s">
        <v>4541</v>
      </c>
      <c r="C1652" s="2" t="s">
        <v>4495</v>
      </c>
      <c r="D1652" s="2" t="s">
        <v>4542</v>
      </c>
      <c r="E1652" s="2" t="s">
        <v>87</v>
      </c>
      <c r="F1652" s="2" t="s">
        <v>125</v>
      </c>
      <c r="G1652" s="2" t="s">
        <v>88</v>
      </c>
      <c r="H1652" s="2"/>
      <c r="I1652" s="2"/>
      <c r="J1652" s="2" t="s">
        <v>19</v>
      </c>
      <c r="K1652" s="2"/>
      <c r="L1652" s="2" t="s">
        <v>89</v>
      </c>
    </row>
    <row r="1653" customFormat="false" ht="13.35" hidden="false" customHeight="true" outlineLevel="0" collapsed="false">
      <c r="A1653" s="5" t="str">
        <f aca="false">HYPERLINK("https://www.fabsurplus.com/sdi_catalog/salesItemDetails.do?id=88074")</f>
        <v>https://www.fabsurplus.com/sdi_catalog/salesItemDetails.do?id=88074</v>
      </c>
      <c r="B1653" s="5" t="s">
        <v>4543</v>
      </c>
      <c r="C1653" s="5" t="s">
        <v>4495</v>
      </c>
      <c r="D1653" s="5" t="s">
        <v>4544</v>
      </c>
      <c r="E1653" s="5" t="s">
        <v>87</v>
      </c>
      <c r="F1653" s="5" t="s">
        <v>4545</v>
      </c>
      <c r="G1653" s="5" t="s">
        <v>88</v>
      </c>
      <c r="H1653" s="5"/>
      <c r="I1653" s="5"/>
      <c r="J1653" s="5" t="s">
        <v>19</v>
      </c>
      <c r="K1653" s="5"/>
      <c r="L1653" s="5" t="s">
        <v>89</v>
      </c>
    </row>
    <row r="1654" customFormat="false" ht="13.35" hidden="false" customHeight="true" outlineLevel="0" collapsed="false">
      <c r="A1654" s="2" t="str">
        <f aca="false">HYPERLINK("https://www.fabsurplus.com/sdi_catalog/salesItemDetails.do?id=88075")</f>
        <v>https://www.fabsurplus.com/sdi_catalog/salesItemDetails.do?id=88075</v>
      </c>
      <c r="B1654" s="2" t="s">
        <v>4546</v>
      </c>
      <c r="C1654" s="2" t="s">
        <v>4495</v>
      </c>
      <c r="D1654" s="2" t="s">
        <v>4547</v>
      </c>
      <c r="E1654" s="2" t="s">
        <v>87</v>
      </c>
      <c r="F1654" s="2" t="s">
        <v>16</v>
      </c>
      <c r="G1654" s="2" t="s">
        <v>88</v>
      </c>
      <c r="H1654" s="2"/>
      <c r="I1654" s="2"/>
      <c r="J1654" s="2" t="s">
        <v>19</v>
      </c>
      <c r="K1654" s="2"/>
      <c r="L1654" s="2" t="s">
        <v>89</v>
      </c>
    </row>
    <row r="1655" customFormat="false" ht="13.35" hidden="false" customHeight="true" outlineLevel="0" collapsed="false">
      <c r="A1655" s="5" t="str">
        <f aca="false">HYPERLINK("https://www.fabsurplus.com/sdi_catalog/salesItemDetails.do?id=88077")</f>
        <v>https://www.fabsurplus.com/sdi_catalog/salesItemDetails.do?id=88077</v>
      </c>
      <c r="B1655" s="5" t="s">
        <v>4548</v>
      </c>
      <c r="C1655" s="5" t="s">
        <v>4495</v>
      </c>
      <c r="D1655" s="5" t="s">
        <v>4549</v>
      </c>
      <c r="E1655" s="5" t="s">
        <v>87</v>
      </c>
      <c r="F1655" s="5" t="s">
        <v>125</v>
      </c>
      <c r="G1655" s="5" t="s">
        <v>88</v>
      </c>
      <c r="H1655" s="5"/>
      <c r="I1655" s="5"/>
      <c r="J1655" s="5" t="s">
        <v>19</v>
      </c>
      <c r="K1655" s="5"/>
      <c r="L1655" s="5" t="s">
        <v>89</v>
      </c>
    </row>
    <row r="1656" customFormat="false" ht="13.35" hidden="false" customHeight="true" outlineLevel="0" collapsed="false">
      <c r="A1656" s="2" t="str">
        <f aca="false">HYPERLINK("https://www.fabsurplus.com/sdi_catalog/salesItemDetails.do?id=88078")</f>
        <v>https://www.fabsurplus.com/sdi_catalog/salesItemDetails.do?id=88078</v>
      </c>
      <c r="B1656" s="2" t="s">
        <v>4550</v>
      </c>
      <c r="C1656" s="2" t="s">
        <v>4495</v>
      </c>
      <c r="D1656" s="2" t="s">
        <v>4551</v>
      </c>
      <c r="E1656" s="2" t="s">
        <v>87</v>
      </c>
      <c r="F1656" s="2" t="s">
        <v>125</v>
      </c>
      <c r="G1656" s="2" t="s">
        <v>88</v>
      </c>
      <c r="H1656" s="2"/>
      <c r="I1656" s="2"/>
      <c r="J1656" s="2" t="s">
        <v>19</v>
      </c>
      <c r="K1656" s="2"/>
      <c r="L1656" s="2" t="s">
        <v>89</v>
      </c>
    </row>
    <row r="1657" customFormat="false" ht="13.35" hidden="false" customHeight="true" outlineLevel="0" collapsed="false">
      <c r="A1657" s="5" t="str">
        <f aca="false">HYPERLINK("https://www.fabsurplus.com/sdi_catalog/salesItemDetails.do?id=88079")</f>
        <v>https://www.fabsurplus.com/sdi_catalog/salesItemDetails.do?id=88079</v>
      </c>
      <c r="B1657" s="5" t="s">
        <v>4552</v>
      </c>
      <c r="C1657" s="5" t="s">
        <v>4495</v>
      </c>
      <c r="D1657" s="5" t="s">
        <v>4553</v>
      </c>
      <c r="E1657" s="5" t="s">
        <v>87</v>
      </c>
      <c r="F1657" s="5" t="s">
        <v>16</v>
      </c>
      <c r="G1657" s="5" t="s">
        <v>88</v>
      </c>
      <c r="H1657" s="5"/>
      <c r="I1657" s="5"/>
      <c r="J1657" s="5" t="s">
        <v>19</v>
      </c>
      <c r="K1657" s="5"/>
      <c r="L1657" s="5" t="s">
        <v>89</v>
      </c>
    </row>
    <row r="1658" customFormat="false" ht="13.35" hidden="false" customHeight="true" outlineLevel="0" collapsed="false">
      <c r="A1658" s="2" t="str">
        <f aca="false">HYPERLINK("https://www.fabsurplus.com/sdi_catalog/salesItemDetails.do?id=88080")</f>
        <v>https://www.fabsurplus.com/sdi_catalog/salesItemDetails.do?id=88080</v>
      </c>
      <c r="B1658" s="2" t="s">
        <v>4554</v>
      </c>
      <c r="C1658" s="2" t="s">
        <v>4495</v>
      </c>
      <c r="D1658" s="2" t="s">
        <v>4555</v>
      </c>
      <c r="E1658" s="2" t="s">
        <v>87</v>
      </c>
      <c r="F1658" s="2" t="s">
        <v>58</v>
      </c>
      <c r="G1658" s="2" t="s">
        <v>88</v>
      </c>
      <c r="H1658" s="2"/>
      <c r="I1658" s="2"/>
      <c r="J1658" s="2" t="s">
        <v>19</v>
      </c>
      <c r="K1658" s="2"/>
      <c r="L1658" s="2" t="s">
        <v>89</v>
      </c>
    </row>
    <row r="1659" customFormat="false" ht="13.35" hidden="false" customHeight="true" outlineLevel="0" collapsed="false">
      <c r="A1659" s="5" t="str">
        <f aca="false">HYPERLINK("https://www.fabsurplus.com/sdi_catalog/salesItemDetails.do?id=88081")</f>
        <v>https://www.fabsurplus.com/sdi_catalog/salesItemDetails.do?id=88081</v>
      </c>
      <c r="B1659" s="5" t="s">
        <v>4556</v>
      </c>
      <c r="C1659" s="5" t="s">
        <v>4495</v>
      </c>
      <c r="D1659" s="5" t="s">
        <v>2664</v>
      </c>
      <c r="E1659" s="5" t="s">
        <v>87</v>
      </c>
      <c r="F1659" s="5" t="s">
        <v>4557</v>
      </c>
      <c r="G1659" s="5" t="s">
        <v>88</v>
      </c>
      <c r="H1659" s="5"/>
      <c r="I1659" s="5"/>
      <c r="J1659" s="5" t="s">
        <v>19</v>
      </c>
      <c r="K1659" s="5"/>
      <c r="L1659" s="5" t="s">
        <v>89</v>
      </c>
    </row>
    <row r="1660" customFormat="false" ht="13.35" hidden="false" customHeight="true" outlineLevel="0" collapsed="false">
      <c r="A1660" s="2" t="str">
        <f aca="false">HYPERLINK("https://www.fabsurplus.com/sdi_catalog/salesItemDetails.do?id=88082")</f>
        <v>https://www.fabsurplus.com/sdi_catalog/salesItemDetails.do?id=88082</v>
      </c>
      <c r="B1660" s="2" t="s">
        <v>4558</v>
      </c>
      <c r="C1660" s="2" t="s">
        <v>4495</v>
      </c>
      <c r="D1660" s="2" t="s">
        <v>4559</v>
      </c>
      <c r="E1660" s="2" t="s">
        <v>87</v>
      </c>
      <c r="F1660" s="2" t="s">
        <v>366</v>
      </c>
      <c r="G1660" s="2" t="s">
        <v>88</v>
      </c>
      <c r="H1660" s="2"/>
      <c r="I1660" s="2"/>
      <c r="J1660" s="2" t="s">
        <v>19</v>
      </c>
      <c r="K1660" s="2"/>
      <c r="L1660" s="2" t="s">
        <v>89</v>
      </c>
    </row>
    <row r="1661" customFormat="false" ht="13.35" hidden="false" customHeight="true" outlineLevel="0" collapsed="false">
      <c r="A1661" s="5" t="str">
        <f aca="false">HYPERLINK("https://www.fabsurplus.com/sdi_catalog/salesItemDetails.do?id=88083")</f>
        <v>https://www.fabsurplus.com/sdi_catalog/salesItemDetails.do?id=88083</v>
      </c>
      <c r="B1661" s="5" t="s">
        <v>4560</v>
      </c>
      <c r="C1661" s="5" t="s">
        <v>4495</v>
      </c>
      <c r="D1661" s="5" t="s">
        <v>4561</v>
      </c>
      <c r="E1661" s="5" t="s">
        <v>87</v>
      </c>
      <c r="F1661" s="5" t="s">
        <v>16</v>
      </c>
      <c r="G1661" s="5" t="s">
        <v>88</v>
      </c>
      <c r="H1661" s="5"/>
      <c r="I1661" s="5"/>
      <c r="J1661" s="5" t="s">
        <v>19</v>
      </c>
      <c r="K1661" s="5"/>
      <c r="L1661" s="5" t="s">
        <v>89</v>
      </c>
    </row>
    <row r="1662" customFormat="false" ht="13.35" hidden="false" customHeight="true" outlineLevel="0" collapsed="false">
      <c r="A1662" s="2" t="str">
        <f aca="false">HYPERLINK("https://www.fabsurplus.com/sdi_catalog/salesItemDetails.do?id=88084")</f>
        <v>https://www.fabsurplus.com/sdi_catalog/salesItemDetails.do?id=88084</v>
      </c>
      <c r="B1662" s="2" t="s">
        <v>4562</v>
      </c>
      <c r="C1662" s="2" t="s">
        <v>4495</v>
      </c>
      <c r="D1662" s="2" t="s">
        <v>4563</v>
      </c>
      <c r="E1662" s="2" t="s">
        <v>87</v>
      </c>
      <c r="F1662" s="2" t="s">
        <v>137</v>
      </c>
      <c r="G1662" s="2" t="s">
        <v>88</v>
      </c>
      <c r="H1662" s="2"/>
      <c r="I1662" s="2"/>
      <c r="J1662" s="2" t="s">
        <v>19</v>
      </c>
      <c r="K1662" s="2"/>
      <c r="L1662" s="2" t="s">
        <v>89</v>
      </c>
    </row>
    <row r="1663" customFormat="false" ht="13.35" hidden="false" customHeight="true" outlineLevel="0" collapsed="false">
      <c r="A1663" s="5" t="str">
        <f aca="false">HYPERLINK("https://www.fabsurplus.com/sdi_catalog/salesItemDetails.do?id=88085")</f>
        <v>https://www.fabsurplus.com/sdi_catalog/salesItemDetails.do?id=88085</v>
      </c>
      <c r="B1663" s="5" t="s">
        <v>4564</v>
      </c>
      <c r="C1663" s="5" t="s">
        <v>4495</v>
      </c>
      <c r="D1663" s="5" t="s">
        <v>4565</v>
      </c>
      <c r="E1663" s="5" t="s">
        <v>87</v>
      </c>
      <c r="F1663" s="5" t="s">
        <v>4566</v>
      </c>
      <c r="G1663" s="5" t="s">
        <v>88</v>
      </c>
      <c r="H1663" s="5"/>
      <c r="I1663" s="5"/>
      <c r="J1663" s="5" t="s">
        <v>19</v>
      </c>
      <c r="K1663" s="5"/>
      <c r="L1663" s="5" t="s">
        <v>89</v>
      </c>
    </row>
    <row r="1664" customFormat="false" ht="13.35" hidden="false" customHeight="true" outlineLevel="0" collapsed="false">
      <c r="A1664" s="2" t="str">
        <f aca="false">HYPERLINK("https://www.fabsurplus.com/sdi_catalog/salesItemDetails.do?id=88086")</f>
        <v>https://www.fabsurplus.com/sdi_catalog/salesItemDetails.do?id=88086</v>
      </c>
      <c r="B1664" s="2" t="s">
        <v>4567</v>
      </c>
      <c r="C1664" s="2" t="s">
        <v>4495</v>
      </c>
      <c r="D1664" s="2" t="s">
        <v>4568</v>
      </c>
      <c r="E1664" s="2" t="s">
        <v>87</v>
      </c>
      <c r="F1664" s="2" t="s">
        <v>58</v>
      </c>
      <c r="G1664" s="2" t="s">
        <v>88</v>
      </c>
      <c r="H1664" s="2"/>
      <c r="I1664" s="2"/>
      <c r="J1664" s="2" t="s">
        <v>19</v>
      </c>
      <c r="K1664" s="2"/>
      <c r="L1664" s="2" t="s">
        <v>89</v>
      </c>
    </row>
    <row r="1665" customFormat="false" ht="13.35" hidden="false" customHeight="true" outlineLevel="0" collapsed="false">
      <c r="A1665" s="5" t="str">
        <f aca="false">HYPERLINK("https://www.fabsurplus.com/sdi_catalog/salesItemDetails.do?id=88087")</f>
        <v>https://www.fabsurplus.com/sdi_catalog/salesItemDetails.do?id=88087</v>
      </c>
      <c r="B1665" s="5" t="s">
        <v>4569</v>
      </c>
      <c r="C1665" s="5" t="s">
        <v>4495</v>
      </c>
      <c r="D1665" s="5" t="s">
        <v>4570</v>
      </c>
      <c r="E1665" s="5" t="s">
        <v>87</v>
      </c>
      <c r="F1665" s="5" t="s">
        <v>2000</v>
      </c>
      <c r="G1665" s="5" t="s">
        <v>88</v>
      </c>
      <c r="H1665" s="5"/>
      <c r="I1665" s="5"/>
      <c r="J1665" s="5" t="s">
        <v>19</v>
      </c>
      <c r="K1665" s="5"/>
      <c r="L1665" s="5" t="s">
        <v>89</v>
      </c>
    </row>
    <row r="1666" customFormat="false" ht="13.35" hidden="false" customHeight="true" outlineLevel="0" collapsed="false">
      <c r="A1666" s="2" t="str">
        <f aca="false">HYPERLINK("https://www.fabsurplus.com/sdi_catalog/salesItemDetails.do?id=88088")</f>
        <v>https://www.fabsurplus.com/sdi_catalog/salesItemDetails.do?id=88088</v>
      </c>
      <c r="B1666" s="2" t="s">
        <v>4571</v>
      </c>
      <c r="C1666" s="2" t="s">
        <v>4495</v>
      </c>
      <c r="D1666" s="2" t="s">
        <v>4572</v>
      </c>
      <c r="E1666" s="2" t="s">
        <v>87</v>
      </c>
      <c r="F1666" s="2" t="s">
        <v>16</v>
      </c>
      <c r="G1666" s="2" t="s">
        <v>88</v>
      </c>
      <c r="H1666" s="2"/>
      <c r="I1666" s="2"/>
      <c r="J1666" s="2" t="s">
        <v>19</v>
      </c>
      <c r="K1666" s="2"/>
      <c r="L1666" s="2" t="s">
        <v>89</v>
      </c>
    </row>
    <row r="1667" customFormat="false" ht="13.35" hidden="false" customHeight="true" outlineLevel="0" collapsed="false">
      <c r="A1667" s="5" t="str">
        <f aca="false">HYPERLINK("https://www.fabsurplus.com/sdi_catalog/salesItemDetails.do?id=88089")</f>
        <v>https://www.fabsurplus.com/sdi_catalog/salesItemDetails.do?id=88089</v>
      </c>
      <c r="B1667" s="5" t="s">
        <v>4573</v>
      </c>
      <c r="C1667" s="5" t="s">
        <v>4495</v>
      </c>
      <c r="D1667" s="5" t="s">
        <v>4574</v>
      </c>
      <c r="E1667" s="5" t="s">
        <v>87</v>
      </c>
      <c r="F1667" s="5" t="s">
        <v>16</v>
      </c>
      <c r="G1667" s="5" t="s">
        <v>88</v>
      </c>
      <c r="H1667" s="5"/>
      <c r="I1667" s="5"/>
      <c r="J1667" s="5" t="s">
        <v>19</v>
      </c>
      <c r="K1667" s="5"/>
      <c r="L1667" s="5" t="s">
        <v>89</v>
      </c>
    </row>
    <row r="1668" customFormat="false" ht="13.35" hidden="false" customHeight="true" outlineLevel="0" collapsed="false">
      <c r="A1668" s="2" t="str">
        <f aca="false">HYPERLINK("https://www.fabsurplus.com/sdi_catalog/salesItemDetails.do?id=88090")</f>
        <v>https://www.fabsurplus.com/sdi_catalog/salesItemDetails.do?id=88090</v>
      </c>
      <c r="B1668" s="2" t="s">
        <v>4575</v>
      </c>
      <c r="C1668" s="2" t="s">
        <v>4495</v>
      </c>
      <c r="D1668" s="2" t="s">
        <v>4576</v>
      </c>
      <c r="E1668" s="2" t="s">
        <v>87</v>
      </c>
      <c r="F1668" s="2" t="s">
        <v>58</v>
      </c>
      <c r="G1668" s="2" t="s">
        <v>88</v>
      </c>
      <c r="H1668" s="2"/>
      <c r="I1668" s="2"/>
      <c r="J1668" s="2" t="s">
        <v>19</v>
      </c>
      <c r="K1668" s="2"/>
      <c r="L1668" s="2" t="s">
        <v>89</v>
      </c>
    </row>
    <row r="1669" customFormat="false" ht="13.35" hidden="false" customHeight="true" outlineLevel="0" collapsed="false">
      <c r="A1669" s="5" t="str">
        <f aca="false">HYPERLINK("https://www.fabsurplus.com/sdi_catalog/salesItemDetails.do?id=88091")</f>
        <v>https://www.fabsurplus.com/sdi_catalog/salesItemDetails.do?id=88091</v>
      </c>
      <c r="B1669" s="5" t="s">
        <v>4577</v>
      </c>
      <c r="C1669" s="5" t="s">
        <v>4495</v>
      </c>
      <c r="D1669" s="5" t="s">
        <v>4578</v>
      </c>
      <c r="E1669" s="5" t="s">
        <v>87</v>
      </c>
      <c r="F1669" s="5" t="s">
        <v>16</v>
      </c>
      <c r="G1669" s="5" t="s">
        <v>88</v>
      </c>
      <c r="H1669" s="5"/>
      <c r="I1669" s="5"/>
      <c r="J1669" s="5" t="s">
        <v>19</v>
      </c>
      <c r="K1669" s="5"/>
      <c r="L1669" s="5" t="s">
        <v>89</v>
      </c>
    </row>
    <row r="1670" customFormat="false" ht="13.35" hidden="false" customHeight="true" outlineLevel="0" collapsed="false">
      <c r="A1670" s="2" t="str">
        <f aca="false">HYPERLINK("https://www.fabsurplus.com/sdi_catalog/salesItemDetails.do?id=88092")</f>
        <v>https://www.fabsurplus.com/sdi_catalog/salesItemDetails.do?id=88092</v>
      </c>
      <c r="B1670" s="2" t="s">
        <v>4579</v>
      </c>
      <c r="C1670" s="2" t="s">
        <v>4495</v>
      </c>
      <c r="D1670" s="2" t="s">
        <v>4580</v>
      </c>
      <c r="E1670" s="2" t="s">
        <v>87</v>
      </c>
      <c r="F1670" s="2" t="s">
        <v>51</v>
      </c>
      <c r="G1670" s="2" t="s">
        <v>88</v>
      </c>
      <c r="H1670" s="2"/>
      <c r="I1670" s="2"/>
      <c r="J1670" s="2" t="s">
        <v>19</v>
      </c>
      <c r="K1670" s="2"/>
      <c r="L1670" s="2" t="s">
        <v>89</v>
      </c>
    </row>
    <row r="1671" customFormat="false" ht="13.35" hidden="false" customHeight="true" outlineLevel="0" collapsed="false">
      <c r="A1671" s="5" t="str">
        <f aca="false">HYPERLINK("https://www.fabsurplus.com/sdi_catalog/salesItemDetails.do?id=88093")</f>
        <v>https://www.fabsurplus.com/sdi_catalog/salesItemDetails.do?id=88093</v>
      </c>
      <c r="B1671" s="5" t="s">
        <v>4581</v>
      </c>
      <c r="C1671" s="5" t="s">
        <v>4495</v>
      </c>
      <c r="D1671" s="5" t="s">
        <v>4582</v>
      </c>
      <c r="E1671" s="5" t="s">
        <v>87</v>
      </c>
      <c r="F1671" s="5" t="s">
        <v>125</v>
      </c>
      <c r="G1671" s="5" t="s">
        <v>88</v>
      </c>
      <c r="H1671" s="5"/>
      <c r="I1671" s="5"/>
      <c r="J1671" s="5" t="s">
        <v>19</v>
      </c>
      <c r="K1671" s="5"/>
      <c r="L1671" s="5" t="s">
        <v>89</v>
      </c>
    </row>
    <row r="1672" customFormat="false" ht="13.35" hidden="false" customHeight="true" outlineLevel="0" collapsed="false">
      <c r="A1672" s="2" t="str">
        <f aca="false">HYPERLINK("https://www.fabsurplus.com/sdi_catalog/salesItemDetails.do?id=88094")</f>
        <v>https://www.fabsurplus.com/sdi_catalog/salesItemDetails.do?id=88094</v>
      </c>
      <c r="B1672" s="2" t="s">
        <v>4583</v>
      </c>
      <c r="C1672" s="2" t="s">
        <v>4495</v>
      </c>
      <c r="D1672" s="2" t="s">
        <v>4584</v>
      </c>
      <c r="E1672" s="2" t="s">
        <v>87</v>
      </c>
      <c r="F1672" s="2" t="s">
        <v>125</v>
      </c>
      <c r="G1672" s="2" t="s">
        <v>88</v>
      </c>
      <c r="H1672" s="2"/>
      <c r="I1672" s="2"/>
      <c r="J1672" s="2" t="s">
        <v>19</v>
      </c>
      <c r="K1672" s="2"/>
      <c r="L1672" s="2" t="s">
        <v>89</v>
      </c>
    </row>
    <row r="1673" customFormat="false" ht="13.35" hidden="false" customHeight="true" outlineLevel="0" collapsed="false">
      <c r="A1673" s="5" t="str">
        <f aca="false">HYPERLINK("https://www.fabsurplus.com/sdi_catalog/salesItemDetails.do?id=88095")</f>
        <v>https://www.fabsurplus.com/sdi_catalog/salesItemDetails.do?id=88095</v>
      </c>
      <c r="B1673" s="5" t="s">
        <v>4585</v>
      </c>
      <c r="C1673" s="5" t="s">
        <v>4495</v>
      </c>
      <c r="D1673" s="5" t="s">
        <v>4586</v>
      </c>
      <c r="E1673" s="5" t="s">
        <v>87</v>
      </c>
      <c r="F1673" s="5" t="s">
        <v>336</v>
      </c>
      <c r="G1673" s="5" t="s">
        <v>88</v>
      </c>
      <c r="H1673" s="5"/>
      <c r="I1673" s="5"/>
      <c r="J1673" s="5" t="s">
        <v>19</v>
      </c>
      <c r="K1673" s="5"/>
      <c r="L1673" s="5" t="s">
        <v>89</v>
      </c>
    </row>
    <row r="1674" customFormat="false" ht="13.35" hidden="false" customHeight="true" outlineLevel="0" collapsed="false">
      <c r="A1674" s="2" t="str">
        <f aca="false">HYPERLINK("https://www.fabsurplus.com/sdi_catalog/salesItemDetails.do?id=88096")</f>
        <v>https://www.fabsurplus.com/sdi_catalog/salesItemDetails.do?id=88096</v>
      </c>
      <c r="B1674" s="2" t="s">
        <v>4587</v>
      </c>
      <c r="C1674" s="2" t="s">
        <v>4495</v>
      </c>
      <c r="D1674" s="2" t="s">
        <v>4588</v>
      </c>
      <c r="E1674" s="2" t="s">
        <v>87</v>
      </c>
      <c r="F1674" s="2" t="s">
        <v>125</v>
      </c>
      <c r="G1674" s="2" t="s">
        <v>88</v>
      </c>
      <c r="H1674" s="2"/>
      <c r="I1674" s="2"/>
      <c r="J1674" s="2" t="s">
        <v>19</v>
      </c>
      <c r="K1674" s="2"/>
      <c r="L1674" s="2" t="s">
        <v>89</v>
      </c>
    </row>
    <row r="1675" customFormat="false" ht="13.35" hidden="false" customHeight="true" outlineLevel="0" collapsed="false">
      <c r="A1675" s="5" t="str">
        <f aca="false">HYPERLINK("https://www.fabsurplus.com/sdi_catalog/salesItemDetails.do?id=88097")</f>
        <v>https://www.fabsurplus.com/sdi_catalog/salesItemDetails.do?id=88097</v>
      </c>
      <c r="B1675" s="5" t="s">
        <v>4589</v>
      </c>
      <c r="C1675" s="5" t="s">
        <v>4495</v>
      </c>
      <c r="D1675" s="5" t="s">
        <v>4590</v>
      </c>
      <c r="E1675" s="5" t="s">
        <v>87</v>
      </c>
      <c r="F1675" s="5" t="s">
        <v>16</v>
      </c>
      <c r="G1675" s="5" t="s">
        <v>88</v>
      </c>
      <c r="H1675" s="5"/>
      <c r="I1675" s="5"/>
      <c r="J1675" s="5" t="s">
        <v>19</v>
      </c>
      <c r="K1675" s="5"/>
      <c r="L1675" s="5" t="s">
        <v>89</v>
      </c>
    </row>
    <row r="1676" customFormat="false" ht="13.35" hidden="false" customHeight="true" outlineLevel="0" collapsed="false">
      <c r="A1676" s="2" t="str">
        <f aca="false">HYPERLINK("https://www.fabsurplus.com/sdi_catalog/salesItemDetails.do?id=88098")</f>
        <v>https://www.fabsurplus.com/sdi_catalog/salesItemDetails.do?id=88098</v>
      </c>
      <c r="B1676" s="2" t="s">
        <v>4591</v>
      </c>
      <c r="C1676" s="2" t="s">
        <v>4495</v>
      </c>
      <c r="D1676" s="2" t="s">
        <v>4592</v>
      </c>
      <c r="E1676" s="2" t="s">
        <v>87</v>
      </c>
      <c r="F1676" s="2" t="s">
        <v>2000</v>
      </c>
      <c r="G1676" s="2" t="s">
        <v>88</v>
      </c>
      <c r="H1676" s="2"/>
      <c r="I1676" s="2"/>
      <c r="J1676" s="2" t="s">
        <v>19</v>
      </c>
      <c r="K1676" s="2"/>
      <c r="L1676" s="2" t="s">
        <v>89</v>
      </c>
    </row>
    <row r="1677" customFormat="false" ht="13.35" hidden="false" customHeight="true" outlineLevel="0" collapsed="false">
      <c r="A1677" s="5" t="str">
        <f aca="false">HYPERLINK("https://www.fabsurplus.com/sdi_catalog/salesItemDetails.do?id=88099")</f>
        <v>https://www.fabsurplus.com/sdi_catalog/salesItemDetails.do?id=88099</v>
      </c>
      <c r="B1677" s="5" t="s">
        <v>4593</v>
      </c>
      <c r="C1677" s="5" t="s">
        <v>4495</v>
      </c>
      <c r="D1677" s="5" t="s">
        <v>4594</v>
      </c>
      <c r="E1677" s="5" t="s">
        <v>87</v>
      </c>
      <c r="F1677" s="5" t="s">
        <v>125</v>
      </c>
      <c r="G1677" s="5" t="s">
        <v>88</v>
      </c>
      <c r="H1677" s="5"/>
      <c r="I1677" s="5"/>
      <c r="J1677" s="5" t="s">
        <v>19</v>
      </c>
      <c r="K1677" s="5"/>
      <c r="L1677" s="5" t="s">
        <v>89</v>
      </c>
    </row>
    <row r="1678" customFormat="false" ht="13.35" hidden="false" customHeight="true" outlineLevel="0" collapsed="false">
      <c r="A1678" s="2" t="str">
        <f aca="false">HYPERLINK("https://www.fabsurplus.com/sdi_catalog/salesItemDetails.do?id=88100")</f>
        <v>https://www.fabsurplus.com/sdi_catalog/salesItemDetails.do?id=88100</v>
      </c>
      <c r="B1678" s="2" t="s">
        <v>4595</v>
      </c>
      <c r="C1678" s="2" t="s">
        <v>4495</v>
      </c>
      <c r="D1678" s="2" t="s">
        <v>4596</v>
      </c>
      <c r="E1678" s="2" t="s">
        <v>87</v>
      </c>
      <c r="F1678" s="2" t="s">
        <v>125</v>
      </c>
      <c r="G1678" s="2" t="s">
        <v>88</v>
      </c>
      <c r="H1678" s="2"/>
      <c r="I1678" s="2"/>
      <c r="J1678" s="2" t="s">
        <v>19</v>
      </c>
      <c r="K1678" s="2"/>
      <c r="L1678" s="2" t="s">
        <v>89</v>
      </c>
    </row>
    <row r="1679" customFormat="false" ht="13.35" hidden="false" customHeight="true" outlineLevel="0" collapsed="false">
      <c r="A1679" s="5" t="str">
        <f aca="false">HYPERLINK("https://www.fabsurplus.com/sdi_catalog/salesItemDetails.do?id=88101")</f>
        <v>https://www.fabsurplus.com/sdi_catalog/salesItemDetails.do?id=88101</v>
      </c>
      <c r="B1679" s="5" t="s">
        <v>4597</v>
      </c>
      <c r="C1679" s="5" t="s">
        <v>4495</v>
      </c>
      <c r="D1679" s="5" t="s">
        <v>4598</v>
      </c>
      <c r="E1679" s="5" t="s">
        <v>87</v>
      </c>
      <c r="F1679" s="5" t="s">
        <v>58</v>
      </c>
      <c r="G1679" s="5" t="s">
        <v>88</v>
      </c>
      <c r="H1679" s="5"/>
      <c r="I1679" s="5"/>
      <c r="J1679" s="5" t="s">
        <v>19</v>
      </c>
      <c r="K1679" s="5"/>
      <c r="L1679" s="5" t="s">
        <v>89</v>
      </c>
    </row>
    <row r="1680" customFormat="false" ht="13.35" hidden="false" customHeight="true" outlineLevel="0" collapsed="false">
      <c r="A1680" s="2" t="str">
        <f aca="false">HYPERLINK("https://www.fabsurplus.com/sdi_catalog/salesItemDetails.do?id=88102")</f>
        <v>https://www.fabsurplus.com/sdi_catalog/salesItemDetails.do?id=88102</v>
      </c>
      <c r="B1680" s="2" t="s">
        <v>4599</v>
      </c>
      <c r="C1680" s="2" t="s">
        <v>4495</v>
      </c>
      <c r="D1680" s="2" t="s">
        <v>4600</v>
      </c>
      <c r="E1680" s="2" t="s">
        <v>87</v>
      </c>
      <c r="F1680" s="2" t="s">
        <v>125</v>
      </c>
      <c r="G1680" s="2" t="s">
        <v>88</v>
      </c>
      <c r="H1680" s="2"/>
      <c r="I1680" s="2"/>
      <c r="J1680" s="2" t="s">
        <v>19</v>
      </c>
      <c r="K1680" s="2"/>
      <c r="L1680" s="2" t="s">
        <v>89</v>
      </c>
    </row>
    <row r="1681" customFormat="false" ht="13.35" hidden="false" customHeight="true" outlineLevel="0" collapsed="false">
      <c r="A1681" s="5" t="str">
        <f aca="false">HYPERLINK("https://www.fabsurplus.com/sdi_catalog/salesItemDetails.do?id=88103")</f>
        <v>https://www.fabsurplus.com/sdi_catalog/salesItemDetails.do?id=88103</v>
      </c>
      <c r="B1681" s="5" t="s">
        <v>4601</v>
      </c>
      <c r="C1681" s="5" t="s">
        <v>4495</v>
      </c>
      <c r="D1681" s="5" t="s">
        <v>4602</v>
      </c>
      <c r="E1681" s="5" t="s">
        <v>87</v>
      </c>
      <c r="F1681" s="5" t="s">
        <v>609</v>
      </c>
      <c r="G1681" s="5" t="s">
        <v>88</v>
      </c>
      <c r="H1681" s="5"/>
      <c r="I1681" s="5"/>
      <c r="J1681" s="5" t="s">
        <v>19</v>
      </c>
      <c r="K1681" s="5"/>
      <c r="L1681" s="5" t="s">
        <v>89</v>
      </c>
    </row>
    <row r="1682" customFormat="false" ht="13.35" hidden="false" customHeight="true" outlineLevel="0" collapsed="false">
      <c r="A1682" s="2" t="str">
        <f aca="false">HYPERLINK("https://www.fabsurplus.com/sdi_catalog/salesItemDetails.do?id=88104")</f>
        <v>https://www.fabsurplus.com/sdi_catalog/salesItemDetails.do?id=88104</v>
      </c>
      <c r="B1682" s="2" t="s">
        <v>4603</v>
      </c>
      <c r="C1682" s="2" t="s">
        <v>4495</v>
      </c>
      <c r="D1682" s="2" t="s">
        <v>4604</v>
      </c>
      <c r="E1682" s="2" t="s">
        <v>87</v>
      </c>
      <c r="F1682" s="2" t="s">
        <v>16</v>
      </c>
      <c r="G1682" s="2" t="s">
        <v>88</v>
      </c>
      <c r="H1682" s="2"/>
      <c r="I1682" s="2"/>
      <c r="J1682" s="2" t="s">
        <v>19</v>
      </c>
      <c r="K1682" s="2"/>
      <c r="L1682" s="2" t="s">
        <v>89</v>
      </c>
    </row>
    <row r="1683" customFormat="false" ht="13.35" hidden="false" customHeight="true" outlineLevel="0" collapsed="false">
      <c r="A1683" s="5" t="str">
        <f aca="false">HYPERLINK("https://www.fabsurplus.com/sdi_catalog/salesItemDetails.do?id=88105")</f>
        <v>https://www.fabsurplus.com/sdi_catalog/salesItemDetails.do?id=88105</v>
      </c>
      <c r="B1683" s="5" t="s">
        <v>4605</v>
      </c>
      <c r="C1683" s="5" t="s">
        <v>4495</v>
      </c>
      <c r="D1683" s="5" t="s">
        <v>4606</v>
      </c>
      <c r="E1683" s="5" t="s">
        <v>87</v>
      </c>
      <c r="F1683" s="5" t="s">
        <v>16</v>
      </c>
      <c r="G1683" s="5" t="s">
        <v>88</v>
      </c>
      <c r="H1683" s="5"/>
      <c r="I1683" s="5"/>
      <c r="J1683" s="5" t="s">
        <v>19</v>
      </c>
      <c r="K1683" s="5"/>
      <c r="L1683" s="5" t="s">
        <v>89</v>
      </c>
    </row>
    <row r="1684" customFormat="false" ht="13.35" hidden="false" customHeight="true" outlineLevel="0" collapsed="false">
      <c r="A1684" s="2" t="str">
        <f aca="false">HYPERLINK("https://www.fabsurplus.com/sdi_catalog/salesItemDetails.do?id=88106")</f>
        <v>https://www.fabsurplus.com/sdi_catalog/salesItemDetails.do?id=88106</v>
      </c>
      <c r="B1684" s="2" t="s">
        <v>4607</v>
      </c>
      <c r="C1684" s="2" t="s">
        <v>4495</v>
      </c>
      <c r="D1684" s="2" t="s">
        <v>4608</v>
      </c>
      <c r="E1684" s="2" t="s">
        <v>87</v>
      </c>
      <c r="F1684" s="2" t="s">
        <v>58</v>
      </c>
      <c r="G1684" s="2" t="s">
        <v>88</v>
      </c>
      <c r="H1684" s="2"/>
      <c r="I1684" s="2"/>
      <c r="J1684" s="2" t="s">
        <v>19</v>
      </c>
      <c r="K1684" s="2"/>
      <c r="L1684" s="2" t="s">
        <v>89</v>
      </c>
    </row>
    <row r="1685" customFormat="false" ht="13.35" hidden="false" customHeight="true" outlineLevel="0" collapsed="false">
      <c r="A1685" s="5" t="str">
        <f aca="false">HYPERLINK("https://www.fabsurplus.com/sdi_catalog/salesItemDetails.do?id=88107")</f>
        <v>https://www.fabsurplus.com/sdi_catalog/salesItemDetails.do?id=88107</v>
      </c>
      <c r="B1685" s="5" t="s">
        <v>4609</v>
      </c>
      <c r="C1685" s="5" t="s">
        <v>4495</v>
      </c>
      <c r="D1685" s="5" t="s">
        <v>4610</v>
      </c>
      <c r="E1685" s="5" t="s">
        <v>87</v>
      </c>
      <c r="F1685" s="5" t="s">
        <v>16</v>
      </c>
      <c r="G1685" s="5" t="s">
        <v>88</v>
      </c>
      <c r="H1685" s="5"/>
      <c r="I1685" s="5"/>
      <c r="J1685" s="5" t="s">
        <v>19</v>
      </c>
      <c r="K1685" s="5"/>
      <c r="L1685" s="5" t="s">
        <v>89</v>
      </c>
    </row>
    <row r="1686" customFormat="false" ht="13.35" hidden="false" customHeight="true" outlineLevel="0" collapsed="false">
      <c r="A1686" s="2" t="str">
        <f aca="false">HYPERLINK("https://www.fabsurplus.com/sdi_catalog/salesItemDetails.do?id=88108")</f>
        <v>https://www.fabsurplus.com/sdi_catalog/salesItemDetails.do?id=88108</v>
      </c>
      <c r="B1686" s="2" t="s">
        <v>4611</v>
      </c>
      <c r="C1686" s="2" t="s">
        <v>4495</v>
      </c>
      <c r="D1686" s="2" t="s">
        <v>4612</v>
      </c>
      <c r="E1686" s="2" t="s">
        <v>87</v>
      </c>
      <c r="F1686" s="2" t="s">
        <v>16</v>
      </c>
      <c r="G1686" s="2" t="s">
        <v>88</v>
      </c>
      <c r="H1686" s="2"/>
      <c r="I1686" s="2"/>
      <c r="J1686" s="2" t="s">
        <v>19</v>
      </c>
      <c r="K1686" s="2"/>
      <c r="L1686" s="2" t="s">
        <v>89</v>
      </c>
    </row>
    <row r="1687" customFormat="false" ht="13.35" hidden="false" customHeight="true" outlineLevel="0" collapsed="false">
      <c r="A1687" s="5" t="str">
        <f aca="false">HYPERLINK("https://www.fabsurplus.com/sdi_catalog/salesItemDetails.do?id=88109")</f>
        <v>https://www.fabsurplus.com/sdi_catalog/salesItemDetails.do?id=88109</v>
      </c>
      <c r="B1687" s="5" t="s">
        <v>4613</v>
      </c>
      <c r="C1687" s="5" t="s">
        <v>4495</v>
      </c>
      <c r="D1687" s="5" t="s">
        <v>2676</v>
      </c>
      <c r="E1687" s="5" t="s">
        <v>87</v>
      </c>
      <c r="F1687" s="5" t="s">
        <v>460</v>
      </c>
      <c r="G1687" s="5" t="s">
        <v>88</v>
      </c>
      <c r="H1687" s="5"/>
      <c r="I1687" s="5"/>
      <c r="J1687" s="5" t="s">
        <v>19</v>
      </c>
      <c r="K1687" s="5"/>
      <c r="L1687" s="5" t="s">
        <v>89</v>
      </c>
    </row>
    <row r="1688" customFormat="false" ht="13.35" hidden="false" customHeight="true" outlineLevel="0" collapsed="false">
      <c r="A1688" s="2" t="str">
        <f aca="false">HYPERLINK("https://www.fabsurplus.com/sdi_catalog/salesItemDetails.do?id=88110")</f>
        <v>https://www.fabsurplus.com/sdi_catalog/salesItemDetails.do?id=88110</v>
      </c>
      <c r="B1688" s="2" t="s">
        <v>4614</v>
      </c>
      <c r="C1688" s="2" t="s">
        <v>4495</v>
      </c>
      <c r="D1688" s="2" t="s">
        <v>2676</v>
      </c>
      <c r="E1688" s="2" t="s">
        <v>87</v>
      </c>
      <c r="F1688" s="2" t="s">
        <v>16</v>
      </c>
      <c r="G1688" s="2" t="s">
        <v>88</v>
      </c>
      <c r="H1688" s="2"/>
      <c r="I1688" s="2"/>
      <c r="J1688" s="2" t="s">
        <v>19</v>
      </c>
      <c r="K1688" s="2"/>
      <c r="L1688" s="2" t="s">
        <v>89</v>
      </c>
    </row>
    <row r="1689" customFormat="false" ht="13.35" hidden="false" customHeight="true" outlineLevel="0" collapsed="false">
      <c r="A1689" s="5" t="str">
        <f aca="false">HYPERLINK("https://www.fabsurplus.com/sdi_catalog/salesItemDetails.do?id=88111")</f>
        <v>https://www.fabsurplus.com/sdi_catalog/salesItemDetails.do?id=88111</v>
      </c>
      <c r="B1689" s="5" t="s">
        <v>4615</v>
      </c>
      <c r="C1689" s="5" t="s">
        <v>4495</v>
      </c>
      <c r="D1689" s="5" t="s">
        <v>4616</v>
      </c>
      <c r="E1689" s="5" t="s">
        <v>87</v>
      </c>
      <c r="F1689" s="5" t="s">
        <v>16</v>
      </c>
      <c r="G1689" s="5" t="s">
        <v>88</v>
      </c>
      <c r="H1689" s="5"/>
      <c r="I1689" s="5"/>
      <c r="J1689" s="5" t="s">
        <v>19</v>
      </c>
      <c r="K1689" s="5"/>
      <c r="L1689" s="5" t="s">
        <v>89</v>
      </c>
    </row>
    <row r="1690" customFormat="false" ht="13.35" hidden="false" customHeight="true" outlineLevel="0" collapsed="false">
      <c r="A1690" s="2" t="str">
        <f aca="false">HYPERLINK("https://www.fabsurplus.com/sdi_catalog/salesItemDetails.do?id=88112")</f>
        <v>https://www.fabsurplus.com/sdi_catalog/salesItemDetails.do?id=88112</v>
      </c>
      <c r="B1690" s="2" t="s">
        <v>4617</v>
      </c>
      <c r="C1690" s="2" t="s">
        <v>4495</v>
      </c>
      <c r="D1690" s="2" t="s">
        <v>4618</v>
      </c>
      <c r="E1690" s="2" t="s">
        <v>87</v>
      </c>
      <c r="F1690" s="2" t="s">
        <v>16</v>
      </c>
      <c r="G1690" s="2" t="s">
        <v>88</v>
      </c>
      <c r="H1690" s="2"/>
      <c r="I1690" s="2"/>
      <c r="J1690" s="2" t="s">
        <v>19</v>
      </c>
      <c r="K1690" s="2"/>
      <c r="L1690" s="2" t="s">
        <v>89</v>
      </c>
    </row>
    <row r="1691" customFormat="false" ht="13.35" hidden="false" customHeight="true" outlineLevel="0" collapsed="false">
      <c r="A1691" s="5" t="str">
        <f aca="false">HYPERLINK("https://www.fabsurplus.com/sdi_catalog/salesItemDetails.do?id=88113")</f>
        <v>https://www.fabsurplus.com/sdi_catalog/salesItemDetails.do?id=88113</v>
      </c>
      <c r="B1691" s="5" t="s">
        <v>4619</v>
      </c>
      <c r="C1691" s="5" t="s">
        <v>4495</v>
      </c>
      <c r="D1691" s="5" t="s">
        <v>4620</v>
      </c>
      <c r="E1691" s="5" t="s">
        <v>87</v>
      </c>
      <c r="F1691" s="5" t="s">
        <v>125</v>
      </c>
      <c r="G1691" s="5" t="s">
        <v>88</v>
      </c>
      <c r="H1691" s="5"/>
      <c r="I1691" s="5"/>
      <c r="J1691" s="5" t="s">
        <v>19</v>
      </c>
      <c r="K1691" s="5"/>
      <c r="L1691" s="5" t="s">
        <v>89</v>
      </c>
    </row>
    <row r="1692" customFormat="false" ht="13.35" hidden="false" customHeight="true" outlineLevel="0" collapsed="false">
      <c r="A1692" s="2" t="str">
        <f aca="false">HYPERLINK("https://www.fabsurplus.com/sdi_catalog/salesItemDetails.do?id=35585")</f>
        <v>https://www.fabsurplus.com/sdi_catalog/salesItemDetails.do?id=35585</v>
      </c>
      <c r="B1692" s="2" t="s">
        <v>4621</v>
      </c>
      <c r="C1692" s="2" t="s">
        <v>4495</v>
      </c>
      <c r="D1692" s="2" t="s">
        <v>4622</v>
      </c>
      <c r="E1692" s="2" t="s">
        <v>4623</v>
      </c>
      <c r="F1692" s="2" t="s">
        <v>16</v>
      </c>
      <c r="G1692" s="2" t="s">
        <v>2027</v>
      </c>
      <c r="H1692" s="2" t="s">
        <v>18</v>
      </c>
      <c r="I1692" s="3" t="n">
        <v>35947</v>
      </c>
      <c r="J1692" s="2" t="s">
        <v>19</v>
      </c>
      <c r="K1692" s="2" t="s">
        <v>20</v>
      </c>
      <c r="L1692" s="4" t="s">
        <v>4624</v>
      </c>
    </row>
    <row r="1693" customFormat="false" ht="13.35" hidden="false" customHeight="true" outlineLevel="0" collapsed="false">
      <c r="A1693" s="2" t="str">
        <f aca="false">HYPERLINK("https://www.fabsurplus.com/sdi_catalog/salesItemDetails.do?id=88114")</f>
        <v>https://www.fabsurplus.com/sdi_catalog/salesItemDetails.do?id=88114</v>
      </c>
      <c r="B1693" s="2" t="s">
        <v>4625</v>
      </c>
      <c r="C1693" s="2" t="s">
        <v>4495</v>
      </c>
      <c r="D1693" s="2" t="s">
        <v>4626</v>
      </c>
      <c r="E1693" s="2" t="s">
        <v>87</v>
      </c>
      <c r="F1693" s="2" t="s">
        <v>16</v>
      </c>
      <c r="G1693" s="2" t="s">
        <v>88</v>
      </c>
      <c r="H1693" s="2"/>
      <c r="I1693" s="2"/>
      <c r="J1693" s="2" t="s">
        <v>19</v>
      </c>
      <c r="K1693" s="2"/>
      <c r="L1693" s="2" t="s">
        <v>89</v>
      </c>
    </row>
    <row r="1694" customFormat="false" ht="13.35" hidden="false" customHeight="true" outlineLevel="0" collapsed="false">
      <c r="A1694" s="5" t="str">
        <f aca="false">HYPERLINK("https://www.fabsurplus.com/sdi_catalog/salesItemDetails.do?id=88115")</f>
        <v>https://www.fabsurplus.com/sdi_catalog/salesItemDetails.do?id=88115</v>
      </c>
      <c r="B1694" s="5" t="s">
        <v>4627</v>
      </c>
      <c r="C1694" s="5" t="s">
        <v>4495</v>
      </c>
      <c r="D1694" s="5" t="s">
        <v>4628</v>
      </c>
      <c r="E1694" s="5" t="s">
        <v>87</v>
      </c>
      <c r="F1694" s="5" t="s">
        <v>16</v>
      </c>
      <c r="G1694" s="5" t="s">
        <v>88</v>
      </c>
      <c r="H1694" s="5"/>
      <c r="I1694" s="5"/>
      <c r="J1694" s="5" t="s">
        <v>19</v>
      </c>
      <c r="K1694" s="5"/>
      <c r="L1694" s="5" t="s">
        <v>89</v>
      </c>
    </row>
    <row r="1695" customFormat="false" ht="13.35" hidden="false" customHeight="true" outlineLevel="0" collapsed="false">
      <c r="A1695" s="2" t="str">
        <f aca="false">HYPERLINK("https://www.fabsurplus.com/sdi_catalog/salesItemDetails.do?id=103169")</f>
        <v>https://www.fabsurplus.com/sdi_catalog/salesItemDetails.do?id=103169</v>
      </c>
      <c r="B1695" s="2" t="s">
        <v>4629</v>
      </c>
      <c r="C1695" s="2" t="s">
        <v>4630</v>
      </c>
      <c r="D1695" s="2" t="s">
        <v>4631</v>
      </c>
      <c r="E1695" s="2" t="s">
        <v>4632</v>
      </c>
      <c r="F1695" s="2" t="s">
        <v>16</v>
      </c>
      <c r="G1695" s="2" t="s">
        <v>36</v>
      </c>
      <c r="H1695" s="2"/>
      <c r="I1695" s="2"/>
      <c r="J1695" s="2" t="s">
        <v>47</v>
      </c>
      <c r="K1695" s="2"/>
      <c r="L1695" s="4" t="s">
        <v>4633</v>
      </c>
    </row>
    <row r="1696" customFormat="false" ht="13.35" hidden="false" customHeight="true" outlineLevel="0" collapsed="false">
      <c r="A1696" s="2" t="str">
        <f aca="false">HYPERLINK("https://www.fabsurplus.com/sdi_catalog/salesItemDetails.do?id=97867")</f>
        <v>https://www.fabsurplus.com/sdi_catalog/salesItemDetails.do?id=97867</v>
      </c>
      <c r="B1696" s="2" t="s">
        <v>4634</v>
      </c>
      <c r="C1696" s="2" t="s">
        <v>4635</v>
      </c>
      <c r="D1696" s="2" t="s">
        <v>4636</v>
      </c>
      <c r="E1696" s="2" t="s">
        <v>4337</v>
      </c>
      <c r="F1696" s="2" t="s">
        <v>16</v>
      </c>
      <c r="G1696" s="2"/>
      <c r="H1696" s="2"/>
      <c r="I1696" s="3" t="n">
        <v>37773</v>
      </c>
      <c r="J1696" s="2" t="s">
        <v>19</v>
      </c>
      <c r="K1696" s="2"/>
      <c r="L1696" s="2"/>
    </row>
    <row r="1697" customFormat="false" ht="13.35" hidden="false" customHeight="true" outlineLevel="0" collapsed="false">
      <c r="A1697" s="2" t="str">
        <f aca="false">HYPERLINK("https://www.fabsurplus.com/sdi_catalog/salesItemDetails.do?id=100039")</f>
        <v>https://www.fabsurplus.com/sdi_catalog/salesItemDetails.do?id=100039</v>
      </c>
      <c r="B1697" s="2" t="s">
        <v>4637</v>
      </c>
      <c r="C1697" s="2" t="s">
        <v>4638</v>
      </c>
      <c r="D1697" s="2" t="s">
        <v>4639</v>
      </c>
      <c r="E1697" s="2" t="s">
        <v>4640</v>
      </c>
      <c r="F1697" s="2" t="s">
        <v>16</v>
      </c>
      <c r="G1697" s="2"/>
      <c r="H1697" s="2"/>
      <c r="I1697" s="2"/>
      <c r="J1697" s="2" t="s">
        <v>19</v>
      </c>
      <c r="K1697" s="2"/>
      <c r="L1697" s="4" t="s">
        <v>439</v>
      </c>
    </row>
    <row r="1698" customFormat="false" ht="13.35" hidden="false" customHeight="true" outlineLevel="0" collapsed="false">
      <c r="A1698" s="5" t="str">
        <f aca="false">HYPERLINK("https://www.fabsurplus.com/sdi_catalog/salesItemDetails.do?id=55860")</f>
        <v>https://www.fabsurplus.com/sdi_catalog/salesItemDetails.do?id=55860</v>
      </c>
      <c r="B1698" s="5" t="s">
        <v>4641</v>
      </c>
      <c r="C1698" s="5" t="s">
        <v>4638</v>
      </c>
      <c r="D1698" s="5" t="s">
        <v>4642</v>
      </c>
      <c r="E1698" s="5" t="s">
        <v>4643</v>
      </c>
      <c r="F1698" s="5" t="s">
        <v>16</v>
      </c>
      <c r="G1698" s="5" t="s">
        <v>181</v>
      </c>
      <c r="H1698" s="5" t="s">
        <v>18</v>
      </c>
      <c r="I1698" s="5"/>
      <c r="J1698" s="5" t="s">
        <v>19</v>
      </c>
      <c r="K1698" s="5" t="s">
        <v>20</v>
      </c>
      <c r="L1698" s="5"/>
    </row>
    <row r="1699" customFormat="false" ht="13.35" hidden="false" customHeight="true" outlineLevel="0" collapsed="false">
      <c r="A1699" s="2" t="str">
        <f aca="false">HYPERLINK("https://www.fabsurplus.com/sdi_catalog/salesItemDetails.do?id=102294")</f>
        <v>https://www.fabsurplus.com/sdi_catalog/salesItemDetails.do?id=102294</v>
      </c>
      <c r="B1699" s="2" t="s">
        <v>4644</v>
      </c>
      <c r="C1699" s="2" t="s">
        <v>4645</v>
      </c>
      <c r="D1699" s="2" t="s">
        <v>4646</v>
      </c>
      <c r="E1699" s="2" t="s">
        <v>4647</v>
      </c>
      <c r="F1699" s="2" t="s">
        <v>16</v>
      </c>
      <c r="G1699" s="2" t="s">
        <v>181</v>
      </c>
      <c r="H1699" s="2"/>
      <c r="I1699" s="2"/>
      <c r="J1699" s="2" t="s">
        <v>19</v>
      </c>
      <c r="K1699" s="2"/>
      <c r="L1699" s="2"/>
    </row>
    <row r="1700" customFormat="false" ht="13.35" hidden="false" customHeight="true" outlineLevel="0" collapsed="false">
      <c r="A1700" s="2" t="str">
        <f aca="false">HYPERLINK("https://www.fabsurplus.com/sdi_catalog/salesItemDetails.do?id=102296")</f>
        <v>https://www.fabsurplus.com/sdi_catalog/salesItemDetails.do?id=102296</v>
      </c>
      <c r="B1700" s="2" t="s">
        <v>4648</v>
      </c>
      <c r="C1700" s="2" t="s">
        <v>4645</v>
      </c>
      <c r="D1700" s="2" t="s">
        <v>4646</v>
      </c>
      <c r="E1700" s="2" t="s">
        <v>4647</v>
      </c>
      <c r="F1700" s="2" t="s">
        <v>16</v>
      </c>
      <c r="G1700" s="2" t="s">
        <v>181</v>
      </c>
      <c r="H1700" s="2"/>
      <c r="I1700" s="2"/>
      <c r="J1700" s="2" t="s">
        <v>19</v>
      </c>
      <c r="K1700" s="2"/>
      <c r="L1700" s="2"/>
    </row>
    <row r="1701" customFormat="false" ht="13.35" hidden="false" customHeight="true" outlineLevel="0" collapsed="false">
      <c r="A1701" s="5" t="str">
        <f aca="false">HYPERLINK("https://www.fabsurplus.com/sdi_catalog/salesItemDetails.do?id=102297")</f>
        <v>https://www.fabsurplus.com/sdi_catalog/salesItemDetails.do?id=102297</v>
      </c>
      <c r="B1701" s="5" t="s">
        <v>4649</v>
      </c>
      <c r="C1701" s="5" t="s">
        <v>4645</v>
      </c>
      <c r="D1701" s="5" t="s">
        <v>4646</v>
      </c>
      <c r="E1701" s="5" t="s">
        <v>4647</v>
      </c>
      <c r="F1701" s="5" t="s">
        <v>16</v>
      </c>
      <c r="G1701" s="5" t="s">
        <v>181</v>
      </c>
      <c r="H1701" s="5"/>
      <c r="I1701" s="5"/>
      <c r="J1701" s="5" t="s">
        <v>19</v>
      </c>
      <c r="K1701" s="5"/>
      <c r="L1701" s="5"/>
    </row>
    <row r="1702" customFormat="false" ht="13.35" hidden="false" customHeight="true" outlineLevel="0" collapsed="false">
      <c r="A1702" s="2" t="str">
        <f aca="false">HYPERLINK("https://www.fabsurplus.com/sdi_catalog/salesItemDetails.do?id=102298")</f>
        <v>https://www.fabsurplus.com/sdi_catalog/salesItemDetails.do?id=102298</v>
      </c>
      <c r="B1702" s="2" t="s">
        <v>4650</v>
      </c>
      <c r="C1702" s="2" t="s">
        <v>4645</v>
      </c>
      <c r="D1702" s="2" t="s">
        <v>4646</v>
      </c>
      <c r="E1702" s="2" t="s">
        <v>4651</v>
      </c>
      <c r="F1702" s="2" t="s">
        <v>16</v>
      </c>
      <c r="G1702" s="2" t="s">
        <v>181</v>
      </c>
      <c r="H1702" s="2"/>
      <c r="I1702" s="2"/>
      <c r="J1702" s="2" t="s">
        <v>19</v>
      </c>
      <c r="K1702" s="2"/>
      <c r="L1702" s="2"/>
    </row>
    <row r="1703" customFormat="false" ht="13.35" hidden="false" customHeight="true" outlineLevel="0" collapsed="false">
      <c r="A1703" s="5" t="str">
        <f aca="false">HYPERLINK("https://www.fabsurplus.com/sdi_catalog/salesItemDetails.do?id=102295")</f>
        <v>https://www.fabsurplus.com/sdi_catalog/salesItemDetails.do?id=102295</v>
      </c>
      <c r="B1703" s="5" t="s">
        <v>4652</v>
      </c>
      <c r="C1703" s="5" t="s">
        <v>4645</v>
      </c>
      <c r="D1703" s="5" t="s">
        <v>4646</v>
      </c>
      <c r="E1703" s="5" t="s">
        <v>180</v>
      </c>
      <c r="F1703" s="5" t="s">
        <v>16</v>
      </c>
      <c r="G1703" s="5" t="s">
        <v>181</v>
      </c>
      <c r="H1703" s="5"/>
      <c r="I1703" s="5"/>
      <c r="J1703" s="5" t="s">
        <v>19</v>
      </c>
      <c r="K1703" s="5"/>
      <c r="L1703" s="5"/>
    </row>
    <row r="1704" customFormat="false" ht="13.35" hidden="false" customHeight="true" outlineLevel="0" collapsed="false">
      <c r="A1704" s="5" t="str">
        <f aca="false">HYPERLINK("https://www.fabsurplus.com/sdi_catalog/salesItemDetails.do?id=93307")</f>
        <v>https://www.fabsurplus.com/sdi_catalog/salesItemDetails.do?id=93307</v>
      </c>
      <c r="B1704" s="5" t="s">
        <v>4653</v>
      </c>
      <c r="C1704" s="5" t="s">
        <v>4654</v>
      </c>
      <c r="D1704" s="5" t="s">
        <v>4655</v>
      </c>
      <c r="E1704" s="5" t="s">
        <v>2475</v>
      </c>
      <c r="F1704" s="5" t="s">
        <v>16</v>
      </c>
      <c r="G1704" s="5" t="s">
        <v>154</v>
      </c>
      <c r="H1704" s="5"/>
      <c r="I1704" s="5"/>
      <c r="J1704" s="5" t="s">
        <v>19</v>
      </c>
      <c r="K1704" s="5"/>
      <c r="L1704" s="5" t="s">
        <v>112</v>
      </c>
    </row>
    <row r="1705" customFormat="false" ht="13.35" hidden="false" customHeight="true" outlineLevel="0" collapsed="false">
      <c r="A1705" s="5" t="str">
        <f aca="false">HYPERLINK("https://www.fabsurplus.com/sdi_catalog/salesItemDetails.do?id=102644")</f>
        <v>https://www.fabsurplus.com/sdi_catalog/salesItemDetails.do?id=102644</v>
      </c>
      <c r="B1705" s="5" t="s">
        <v>4656</v>
      </c>
      <c r="C1705" s="5" t="s">
        <v>4657</v>
      </c>
      <c r="D1705" s="5" t="s">
        <v>4658</v>
      </c>
      <c r="E1705" s="5" t="s">
        <v>4659</v>
      </c>
      <c r="F1705" s="5" t="s">
        <v>16</v>
      </c>
      <c r="G1705" s="5" t="s">
        <v>17</v>
      </c>
      <c r="H1705" s="5" t="s">
        <v>26</v>
      </c>
      <c r="I1705" s="6" t="n">
        <v>43252</v>
      </c>
      <c r="J1705" s="5" t="s">
        <v>47</v>
      </c>
      <c r="K1705" s="5" t="s">
        <v>404</v>
      </c>
      <c r="L1705" s="7" t="s">
        <v>4660</v>
      </c>
    </row>
    <row r="1706" customFormat="false" ht="13.35" hidden="false" customHeight="true" outlineLevel="0" collapsed="false">
      <c r="A1706" s="2" t="str">
        <f aca="false">HYPERLINK("https://www.fabsurplus.com/sdi_catalog/salesItemDetails.do?id=33829")</f>
        <v>https://www.fabsurplus.com/sdi_catalog/salesItemDetails.do?id=33829</v>
      </c>
      <c r="B1706" s="2" t="s">
        <v>4661</v>
      </c>
      <c r="C1706" s="2" t="s">
        <v>4662</v>
      </c>
      <c r="D1706" s="2" t="s">
        <v>4663</v>
      </c>
      <c r="E1706" s="2" t="s">
        <v>4664</v>
      </c>
      <c r="F1706" s="2" t="s">
        <v>16</v>
      </c>
      <c r="G1706" s="2" t="s">
        <v>4665</v>
      </c>
      <c r="H1706" s="2" t="s">
        <v>18</v>
      </c>
      <c r="I1706" s="2"/>
      <c r="J1706" s="2" t="s">
        <v>19</v>
      </c>
      <c r="K1706" s="2" t="s">
        <v>20</v>
      </c>
      <c r="L1706" s="4" t="s">
        <v>4666</v>
      </c>
    </row>
    <row r="1707" customFormat="false" ht="13.35" hidden="false" customHeight="true" outlineLevel="0" collapsed="false">
      <c r="A1707" s="5" t="str">
        <f aca="false">HYPERLINK("https://www.fabsurplus.com/sdi_catalog/salesItemDetails.do?id=103005")</f>
        <v>https://www.fabsurplus.com/sdi_catalog/salesItemDetails.do?id=103005</v>
      </c>
      <c r="B1707" s="5" t="s">
        <v>4667</v>
      </c>
      <c r="C1707" s="5" t="s">
        <v>4668</v>
      </c>
      <c r="D1707" s="5" t="s">
        <v>4669</v>
      </c>
      <c r="E1707" s="5" t="s">
        <v>4670</v>
      </c>
      <c r="F1707" s="5" t="s">
        <v>16</v>
      </c>
      <c r="G1707" s="5"/>
      <c r="H1707" s="5"/>
      <c r="I1707" s="5"/>
      <c r="J1707" s="5" t="s">
        <v>19</v>
      </c>
      <c r="K1707" s="5"/>
      <c r="L1707" s="7" t="s">
        <v>4671</v>
      </c>
    </row>
    <row r="1708" customFormat="false" ht="13.35" hidden="false" customHeight="true" outlineLevel="0" collapsed="false">
      <c r="A1708" s="5" t="str">
        <f aca="false">HYPERLINK("https://www.fabsurplus.com/sdi_catalog/salesItemDetails.do?id=101838")</f>
        <v>https://www.fabsurplus.com/sdi_catalog/salesItemDetails.do?id=101838</v>
      </c>
      <c r="B1708" s="5" t="s">
        <v>4672</v>
      </c>
      <c r="C1708" s="5" t="s">
        <v>4673</v>
      </c>
      <c r="D1708" s="5" t="s">
        <v>4674</v>
      </c>
      <c r="E1708" s="5" t="s">
        <v>4675</v>
      </c>
      <c r="F1708" s="5" t="s">
        <v>16</v>
      </c>
      <c r="G1708" s="5" t="s">
        <v>36</v>
      </c>
      <c r="H1708" s="5" t="s">
        <v>26</v>
      </c>
      <c r="I1708" s="5"/>
      <c r="J1708" s="5" t="s">
        <v>19</v>
      </c>
      <c r="K1708" s="5" t="s">
        <v>20</v>
      </c>
      <c r="L1708" s="7" t="s">
        <v>4676</v>
      </c>
    </row>
    <row r="1709" customFormat="false" ht="13.35" hidden="false" customHeight="true" outlineLevel="0" collapsed="false">
      <c r="A1709" s="5" t="str">
        <f aca="false">HYPERLINK("https://www.fabsurplus.com/sdi_catalog/salesItemDetails.do?id=10019")</f>
        <v>https://www.fabsurplus.com/sdi_catalog/salesItemDetails.do?id=10019</v>
      </c>
      <c r="B1709" s="5" t="s">
        <v>4677</v>
      </c>
      <c r="C1709" s="5" t="s">
        <v>4678</v>
      </c>
      <c r="D1709" s="5" t="s">
        <v>4679</v>
      </c>
      <c r="E1709" s="5" t="s">
        <v>4680</v>
      </c>
      <c r="F1709" s="5" t="s">
        <v>16</v>
      </c>
      <c r="G1709" s="5" t="s">
        <v>493</v>
      </c>
      <c r="H1709" s="5" t="s">
        <v>18</v>
      </c>
      <c r="I1709" s="5"/>
      <c r="J1709" s="5" t="s">
        <v>19</v>
      </c>
      <c r="K1709" s="5" t="s">
        <v>20</v>
      </c>
      <c r="L1709" s="7" t="s">
        <v>4681</v>
      </c>
    </row>
    <row r="1710" customFormat="false" ht="13.35" hidden="false" customHeight="true" outlineLevel="0" collapsed="false">
      <c r="A1710" s="2" t="str">
        <f aca="false">HYPERLINK("https://www.fabsurplus.com/sdi_catalog/salesItemDetails.do?id=102299")</f>
        <v>https://www.fabsurplus.com/sdi_catalog/salesItemDetails.do?id=102299</v>
      </c>
      <c r="B1710" s="2" t="s">
        <v>4682</v>
      </c>
      <c r="C1710" s="2" t="s">
        <v>4683</v>
      </c>
      <c r="D1710" s="2" t="s">
        <v>4684</v>
      </c>
      <c r="E1710" s="2" t="s">
        <v>4685</v>
      </c>
      <c r="F1710" s="2" t="s">
        <v>16</v>
      </c>
      <c r="G1710" s="2" t="s">
        <v>17</v>
      </c>
      <c r="H1710" s="2"/>
      <c r="I1710" s="3" t="n">
        <v>38869</v>
      </c>
      <c r="J1710" s="2" t="s">
        <v>19</v>
      </c>
      <c r="K1710" s="2"/>
      <c r="L1710" s="2"/>
    </row>
    <row r="1711" customFormat="false" ht="13.35" hidden="false" customHeight="true" outlineLevel="0" collapsed="false">
      <c r="A1711" s="2" t="str">
        <f aca="false">HYPERLINK("https://www.fabsurplus.com/sdi_catalog/salesItemDetails.do?id=101753")</f>
        <v>https://www.fabsurplus.com/sdi_catalog/salesItemDetails.do?id=101753</v>
      </c>
      <c r="B1711" s="2" t="s">
        <v>4686</v>
      </c>
      <c r="C1711" s="2" t="s">
        <v>4687</v>
      </c>
      <c r="D1711" s="2" t="s">
        <v>4688</v>
      </c>
      <c r="E1711" s="2" t="s">
        <v>4689</v>
      </c>
      <c r="F1711" s="2" t="s">
        <v>16</v>
      </c>
      <c r="G1711" s="2"/>
      <c r="H1711" s="2"/>
      <c r="I1711" s="3" t="n">
        <v>41699</v>
      </c>
      <c r="J1711" s="2" t="s">
        <v>47</v>
      </c>
      <c r="K1711" s="2"/>
      <c r="L1711" s="2" t="s">
        <v>474</v>
      </c>
    </row>
    <row r="1712" customFormat="false" ht="13.35" hidden="false" customHeight="true" outlineLevel="0" collapsed="false">
      <c r="A1712" s="5" t="str">
        <f aca="false">HYPERLINK("https://www.fabsurplus.com/sdi_catalog/salesItemDetails.do?id=101754")</f>
        <v>https://www.fabsurplus.com/sdi_catalog/salesItemDetails.do?id=101754</v>
      </c>
      <c r="B1712" s="5" t="s">
        <v>4690</v>
      </c>
      <c r="C1712" s="5" t="s">
        <v>4687</v>
      </c>
      <c r="D1712" s="5" t="s">
        <v>4688</v>
      </c>
      <c r="E1712" s="5" t="s">
        <v>4689</v>
      </c>
      <c r="F1712" s="5" t="s">
        <v>16</v>
      </c>
      <c r="G1712" s="5"/>
      <c r="H1712" s="5"/>
      <c r="I1712" s="6" t="n">
        <v>42036</v>
      </c>
      <c r="J1712" s="5" t="s">
        <v>47</v>
      </c>
      <c r="K1712" s="5"/>
      <c r="L1712" s="5" t="s">
        <v>474</v>
      </c>
    </row>
    <row r="1713" customFormat="false" ht="13.35" hidden="false" customHeight="true" outlineLevel="0" collapsed="false">
      <c r="A1713" s="2" t="str">
        <f aca="false">HYPERLINK("https://www.fabsurplus.com/sdi_catalog/salesItemDetails.do?id=101755")</f>
        <v>https://www.fabsurplus.com/sdi_catalog/salesItemDetails.do?id=101755</v>
      </c>
      <c r="B1713" s="2" t="s">
        <v>4691</v>
      </c>
      <c r="C1713" s="2" t="s">
        <v>4687</v>
      </c>
      <c r="D1713" s="2" t="s">
        <v>4688</v>
      </c>
      <c r="E1713" s="2" t="s">
        <v>4689</v>
      </c>
      <c r="F1713" s="2" t="s">
        <v>16</v>
      </c>
      <c r="G1713" s="2"/>
      <c r="H1713" s="2"/>
      <c r="I1713" s="3" t="n">
        <v>42370</v>
      </c>
      <c r="J1713" s="2" t="s">
        <v>47</v>
      </c>
      <c r="K1713" s="2"/>
      <c r="L1713" s="2" t="s">
        <v>474</v>
      </c>
    </row>
    <row r="1714" customFormat="false" ht="13.35" hidden="false" customHeight="true" outlineLevel="0" collapsed="false">
      <c r="A1714" s="2" t="str">
        <f aca="false">HYPERLINK("https://www.fabsurplus.com/sdi_catalog/salesItemDetails.do?id=102300")</f>
        <v>https://www.fabsurplus.com/sdi_catalog/salesItemDetails.do?id=102300</v>
      </c>
      <c r="B1714" s="2" t="s">
        <v>4692</v>
      </c>
      <c r="C1714" s="2" t="s">
        <v>4687</v>
      </c>
      <c r="D1714" s="2" t="s">
        <v>4693</v>
      </c>
      <c r="E1714" s="2" t="s">
        <v>4694</v>
      </c>
      <c r="F1714" s="2" t="s">
        <v>16</v>
      </c>
      <c r="G1714" s="2" t="s">
        <v>181</v>
      </c>
      <c r="H1714" s="2"/>
      <c r="I1714" s="2"/>
      <c r="J1714" s="2" t="s">
        <v>19</v>
      </c>
      <c r="K1714" s="2"/>
      <c r="L1714" s="2"/>
    </row>
    <row r="1715" customFormat="false" ht="13.35" hidden="false" customHeight="true" outlineLevel="0" collapsed="false">
      <c r="A1715" s="5" t="str">
        <f aca="false">HYPERLINK("https://www.fabsurplus.com/sdi_catalog/salesItemDetails.do?id=102301")</f>
        <v>https://www.fabsurplus.com/sdi_catalog/salesItemDetails.do?id=102301</v>
      </c>
      <c r="B1715" s="5" t="s">
        <v>4695</v>
      </c>
      <c r="C1715" s="5" t="s">
        <v>4687</v>
      </c>
      <c r="D1715" s="5" t="s">
        <v>4693</v>
      </c>
      <c r="E1715" s="5" t="s">
        <v>4694</v>
      </c>
      <c r="F1715" s="5" t="s">
        <v>16</v>
      </c>
      <c r="G1715" s="5" t="s">
        <v>181</v>
      </c>
      <c r="H1715" s="5"/>
      <c r="I1715" s="5"/>
      <c r="J1715" s="5" t="s">
        <v>19</v>
      </c>
      <c r="K1715" s="5"/>
      <c r="L1715" s="5"/>
    </row>
    <row r="1716" customFormat="false" ht="13.35" hidden="false" customHeight="true" outlineLevel="0" collapsed="false">
      <c r="A1716" s="5" t="str">
        <f aca="false">HYPERLINK("https://www.fabsurplus.com/sdi_catalog/salesItemDetails.do?id=59152")</f>
        <v>https://www.fabsurplus.com/sdi_catalog/salesItemDetails.do?id=59152</v>
      </c>
      <c r="B1716" s="5" t="s">
        <v>4696</v>
      </c>
      <c r="C1716" s="5" t="s">
        <v>4687</v>
      </c>
      <c r="D1716" s="5"/>
      <c r="E1716" s="5" t="s">
        <v>4697</v>
      </c>
      <c r="F1716" s="5" t="s">
        <v>16</v>
      </c>
      <c r="G1716" s="5"/>
      <c r="H1716" s="5"/>
      <c r="I1716" s="5"/>
      <c r="J1716" s="5" t="s">
        <v>19</v>
      </c>
      <c r="K1716" s="5"/>
      <c r="L1716" s="5" t="s">
        <v>4698</v>
      </c>
    </row>
    <row r="1717" customFormat="false" ht="13.35" hidden="false" customHeight="true" outlineLevel="0" collapsed="false">
      <c r="A1717" s="5" t="str">
        <f aca="false">HYPERLINK("https://www.fabsurplus.com/sdi_catalog/salesItemDetails.do?id=59154")</f>
        <v>https://www.fabsurplus.com/sdi_catalog/salesItemDetails.do?id=59154</v>
      </c>
      <c r="B1717" s="5" t="s">
        <v>4699</v>
      </c>
      <c r="C1717" s="5" t="s">
        <v>4687</v>
      </c>
      <c r="D1717" s="5"/>
      <c r="E1717" s="5" t="s">
        <v>4700</v>
      </c>
      <c r="F1717" s="5" t="s">
        <v>16</v>
      </c>
      <c r="G1717" s="5"/>
      <c r="H1717" s="5"/>
      <c r="I1717" s="5"/>
      <c r="J1717" s="5" t="s">
        <v>19</v>
      </c>
      <c r="K1717" s="5"/>
      <c r="L1717" s="5" t="s">
        <v>4698</v>
      </c>
    </row>
    <row r="1718" customFormat="false" ht="13.35" hidden="false" customHeight="true" outlineLevel="0" collapsed="false">
      <c r="A1718" s="2" t="str">
        <f aca="false">HYPERLINK("https://www.fabsurplus.com/sdi_catalog/salesItemDetails.do?id=59153")</f>
        <v>https://www.fabsurplus.com/sdi_catalog/salesItemDetails.do?id=59153</v>
      </c>
      <c r="B1718" s="2" t="s">
        <v>4701</v>
      </c>
      <c r="C1718" s="2" t="s">
        <v>4687</v>
      </c>
      <c r="D1718" s="2"/>
      <c r="E1718" s="2" t="s">
        <v>4702</v>
      </c>
      <c r="F1718" s="2" t="s">
        <v>16</v>
      </c>
      <c r="G1718" s="2"/>
      <c r="H1718" s="2"/>
      <c r="I1718" s="2"/>
      <c r="J1718" s="2" t="s">
        <v>19</v>
      </c>
      <c r="K1718" s="2"/>
      <c r="L1718" s="2" t="s">
        <v>4698</v>
      </c>
    </row>
    <row r="1719" customFormat="false" ht="13.35" hidden="false" customHeight="true" outlineLevel="0" collapsed="false">
      <c r="A1719" s="5" t="str">
        <f aca="false">HYPERLINK("https://www.fabsurplus.com/sdi_catalog/salesItemDetails.do?id=103111")</f>
        <v>https://www.fabsurplus.com/sdi_catalog/salesItemDetails.do?id=103111</v>
      </c>
      <c r="B1719" s="5" t="s">
        <v>4703</v>
      </c>
      <c r="C1719" s="5" t="s">
        <v>4704</v>
      </c>
      <c r="D1719" s="5" t="s">
        <v>4705</v>
      </c>
      <c r="E1719" s="5" t="s">
        <v>4706</v>
      </c>
      <c r="F1719" s="5" t="s">
        <v>176</v>
      </c>
      <c r="G1719" s="5" t="s">
        <v>658</v>
      </c>
      <c r="H1719" s="5"/>
      <c r="I1719" s="5"/>
      <c r="J1719" s="5" t="s">
        <v>19</v>
      </c>
      <c r="K1719" s="5"/>
      <c r="L1719" s="7" t="s">
        <v>4707</v>
      </c>
    </row>
    <row r="1720" customFormat="false" ht="13.35" hidden="false" customHeight="true" outlineLevel="0" collapsed="false">
      <c r="A1720" s="5" t="str">
        <f aca="false">HYPERLINK("https://www.fabsurplus.com/sdi_catalog/salesItemDetails.do?id=96010")</f>
        <v>https://www.fabsurplus.com/sdi_catalog/salesItemDetails.do?id=96010</v>
      </c>
      <c r="B1720" s="5" t="s">
        <v>4708</v>
      </c>
      <c r="C1720" s="5" t="s">
        <v>4709</v>
      </c>
      <c r="D1720" s="5" t="s">
        <v>4710</v>
      </c>
      <c r="E1720" s="5" t="s">
        <v>4711</v>
      </c>
      <c r="F1720" s="5" t="s">
        <v>16</v>
      </c>
      <c r="G1720" s="5"/>
      <c r="H1720" s="5"/>
      <c r="I1720" s="6" t="n">
        <v>38504</v>
      </c>
      <c r="J1720" s="5" t="s">
        <v>19</v>
      </c>
      <c r="K1720" s="5"/>
      <c r="L1720" s="7" t="s">
        <v>209</v>
      </c>
    </row>
    <row r="1721" customFormat="false" ht="13.35" hidden="false" customHeight="true" outlineLevel="0" collapsed="false">
      <c r="A1721" s="5" t="str">
        <f aca="false">HYPERLINK("https://www.fabsurplus.com/sdi_catalog/salesItemDetails.do?id=101628")</f>
        <v>https://www.fabsurplus.com/sdi_catalog/salesItemDetails.do?id=101628</v>
      </c>
      <c r="B1721" s="5" t="s">
        <v>4712</v>
      </c>
      <c r="C1721" s="5" t="s">
        <v>4709</v>
      </c>
      <c r="D1721" s="5" t="s">
        <v>4713</v>
      </c>
      <c r="E1721" s="5" t="s">
        <v>4714</v>
      </c>
      <c r="F1721" s="5" t="s">
        <v>16</v>
      </c>
      <c r="G1721" s="5" t="s">
        <v>17</v>
      </c>
      <c r="H1721" s="5"/>
      <c r="I1721" s="5"/>
      <c r="J1721" s="5" t="s">
        <v>19</v>
      </c>
      <c r="K1721" s="5"/>
      <c r="L1721" s="5"/>
    </row>
    <row r="1722" customFormat="false" ht="13.35" hidden="false" customHeight="true" outlineLevel="0" collapsed="false">
      <c r="A1722" s="2" t="str">
        <f aca="false">HYPERLINK("https://www.fabsurplus.com/sdi_catalog/salesItemDetails.do?id=98480")</f>
        <v>https://www.fabsurplus.com/sdi_catalog/salesItemDetails.do?id=98480</v>
      </c>
      <c r="B1722" s="2" t="s">
        <v>4715</v>
      </c>
      <c r="C1722" s="2" t="s">
        <v>4716</v>
      </c>
      <c r="D1722" s="2" t="s">
        <v>4717</v>
      </c>
      <c r="E1722" s="2" t="s">
        <v>4718</v>
      </c>
      <c r="F1722" s="2" t="s">
        <v>125</v>
      </c>
      <c r="G1722" s="2" t="s">
        <v>2640</v>
      </c>
      <c r="H1722" s="2" t="s">
        <v>26</v>
      </c>
      <c r="I1722" s="2"/>
      <c r="J1722" s="2" t="s">
        <v>19</v>
      </c>
      <c r="K1722" s="2" t="s">
        <v>20</v>
      </c>
      <c r="L1722" s="2" t="s">
        <v>1417</v>
      </c>
    </row>
    <row r="1723" customFormat="false" ht="13.35" hidden="false" customHeight="true" outlineLevel="0" collapsed="false">
      <c r="A1723" s="5" t="str">
        <f aca="false">HYPERLINK("https://www.fabsurplus.com/sdi_catalog/salesItemDetails.do?id=98481")</f>
        <v>https://www.fabsurplus.com/sdi_catalog/salesItemDetails.do?id=98481</v>
      </c>
      <c r="B1723" s="5" t="s">
        <v>4719</v>
      </c>
      <c r="C1723" s="5" t="s">
        <v>4716</v>
      </c>
      <c r="D1723" s="5" t="s">
        <v>4720</v>
      </c>
      <c r="E1723" s="5" t="s">
        <v>4718</v>
      </c>
      <c r="F1723" s="5" t="s">
        <v>125</v>
      </c>
      <c r="G1723" s="5" t="s">
        <v>862</v>
      </c>
      <c r="H1723" s="5"/>
      <c r="I1723" s="5"/>
      <c r="J1723" s="5" t="s">
        <v>19</v>
      </c>
      <c r="K1723" s="5"/>
      <c r="L1723" s="5" t="s">
        <v>1417</v>
      </c>
    </row>
    <row r="1724" customFormat="false" ht="13.35" hidden="false" customHeight="true" outlineLevel="0" collapsed="false">
      <c r="A1724" s="2" t="str">
        <f aca="false">HYPERLINK("https://www.fabsurplus.com/sdi_catalog/salesItemDetails.do?id=102840")</f>
        <v>https://www.fabsurplus.com/sdi_catalog/salesItemDetails.do?id=102840</v>
      </c>
      <c r="B1724" s="2" t="s">
        <v>4721</v>
      </c>
      <c r="C1724" s="2" t="s">
        <v>4722</v>
      </c>
      <c r="D1724" s="2" t="s">
        <v>4723</v>
      </c>
      <c r="E1724" s="2" t="s">
        <v>4724</v>
      </c>
      <c r="F1724" s="2" t="s">
        <v>51</v>
      </c>
      <c r="G1724" s="2"/>
      <c r="H1724" s="2" t="s">
        <v>26</v>
      </c>
      <c r="I1724" s="3" t="n">
        <v>39448</v>
      </c>
      <c r="J1724" s="2" t="s">
        <v>19</v>
      </c>
      <c r="K1724" s="2" t="s">
        <v>20</v>
      </c>
      <c r="L1724" s="4" t="s">
        <v>4725</v>
      </c>
    </row>
    <row r="1725" customFormat="false" ht="13.35" hidden="false" customHeight="true" outlineLevel="0" collapsed="false">
      <c r="A1725" s="2" t="str">
        <f aca="false">HYPERLINK("https://www.fabsurplus.com/sdi_catalog/salesItemDetails.do?id=100923")</f>
        <v>https://www.fabsurplus.com/sdi_catalog/salesItemDetails.do?id=100923</v>
      </c>
      <c r="B1725" s="2" t="s">
        <v>4726</v>
      </c>
      <c r="C1725" s="2" t="s">
        <v>4722</v>
      </c>
      <c r="D1725" s="2" t="s">
        <v>4727</v>
      </c>
      <c r="E1725" s="2" t="s">
        <v>4728</v>
      </c>
      <c r="F1725" s="2" t="s">
        <v>16</v>
      </c>
      <c r="G1725" s="2" t="s">
        <v>17</v>
      </c>
      <c r="H1725" s="2"/>
      <c r="I1725" s="3" t="n">
        <v>38869</v>
      </c>
      <c r="J1725" s="2" t="s">
        <v>19</v>
      </c>
      <c r="K1725" s="2"/>
      <c r="L1725" s="2" t="s">
        <v>618</v>
      </c>
    </row>
    <row r="1726" customFormat="false" ht="13.35" hidden="false" customHeight="true" outlineLevel="0" collapsed="false">
      <c r="A1726" s="2" t="str">
        <f aca="false">HYPERLINK("https://www.fabsurplus.com/sdi_catalog/salesItemDetails.do?id=102302")</f>
        <v>https://www.fabsurplus.com/sdi_catalog/salesItemDetails.do?id=102302</v>
      </c>
      <c r="B1726" s="2" t="s">
        <v>4729</v>
      </c>
      <c r="C1726" s="2" t="s">
        <v>4716</v>
      </c>
      <c r="D1726" s="2" t="s">
        <v>4730</v>
      </c>
      <c r="E1726" s="2" t="s">
        <v>4731</v>
      </c>
      <c r="F1726" s="2" t="s">
        <v>16</v>
      </c>
      <c r="G1726" s="2" t="s">
        <v>36</v>
      </c>
      <c r="H1726" s="2"/>
      <c r="I1726" s="3" t="n">
        <v>39234</v>
      </c>
      <c r="J1726" s="2" t="s">
        <v>19</v>
      </c>
      <c r="K1726" s="2"/>
      <c r="L1726" s="2"/>
    </row>
    <row r="1727" customFormat="false" ht="13.35" hidden="false" customHeight="true" outlineLevel="0" collapsed="false">
      <c r="A1727" s="2" t="str">
        <f aca="false">HYPERLINK("https://www.fabsurplus.com/sdi_catalog/salesItemDetails.do?id=102304")</f>
        <v>https://www.fabsurplus.com/sdi_catalog/salesItemDetails.do?id=102304</v>
      </c>
      <c r="B1727" s="2" t="s">
        <v>4732</v>
      </c>
      <c r="C1727" s="2" t="s">
        <v>4716</v>
      </c>
      <c r="D1727" s="2" t="s">
        <v>4733</v>
      </c>
      <c r="E1727" s="2" t="s">
        <v>4734</v>
      </c>
      <c r="F1727" s="2" t="s">
        <v>16</v>
      </c>
      <c r="G1727" s="2" t="s">
        <v>17</v>
      </c>
      <c r="H1727" s="2"/>
      <c r="I1727" s="3" t="n">
        <v>38139</v>
      </c>
      <c r="J1727" s="2" t="s">
        <v>19</v>
      </c>
      <c r="K1727" s="2"/>
      <c r="L1727" s="2"/>
    </row>
    <row r="1728" customFormat="false" ht="13.35" hidden="false" customHeight="true" outlineLevel="0" collapsed="false">
      <c r="A1728" s="5" t="str">
        <f aca="false">HYPERLINK("https://www.fabsurplus.com/sdi_catalog/salesItemDetails.do?id=102305")</f>
        <v>https://www.fabsurplus.com/sdi_catalog/salesItemDetails.do?id=102305</v>
      </c>
      <c r="B1728" s="5" t="s">
        <v>4735</v>
      </c>
      <c r="C1728" s="5" t="s">
        <v>4716</v>
      </c>
      <c r="D1728" s="5" t="s">
        <v>4733</v>
      </c>
      <c r="E1728" s="5" t="s">
        <v>4734</v>
      </c>
      <c r="F1728" s="5" t="s">
        <v>16</v>
      </c>
      <c r="G1728" s="5" t="s">
        <v>17</v>
      </c>
      <c r="H1728" s="5"/>
      <c r="I1728" s="6" t="n">
        <v>38869</v>
      </c>
      <c r="J1728" s="5" t="s">
        <v>19</v>
      </c>
      <c r="K1728" s="5"/>
      <c r="L1728" s="5"/>
    </row>
    <row r="1729" customFormat="false" ht="13.35" hidden="false" customHeight="true" outlineLevel="0" collapsed="false">
      <c r="A1729" s="2" t="str">
        <f aca="false">HYPERLINK("https://www.fabsurplus.com/sdi_catalog/salesItemDetails.do?id=102306")</f>
        <v>https://www.fabsurplus.com/sdi_catalog/salesItemDetails.do?id=102306</v>
      </c>
      <c r="B1729" s="2" t="s">
        <v>4736</v>
      </c>
      <c r="C1729" s="2" t="s">
        <v>4716</v>
      </c>
      <c r="D1729" s="2" t="s">
        <v>4733</v>
      </c>
      <c r="E1729" s="2" t="s">
        <v>4734</v>
      </c>
      <c r="F1729" s="2" t="s">
        <v>16</v>
      </c>
      <c r="G1729" s="2" t="s">
        <v>17</v>
      </c>
      <c r="H1729" s="2"/>
      <c r="I1729" s="3" t="n">
        <v>38869</v>
      </c>
      <c r="J1729" s="2" t="s">
        <v>19</v>
      </c>
      <c r="K1729" s="2"/>
      <c r="L1729" s="2"/>
    </row>
    <row r="1730" customFormat="false" ht="13.35" hidden="false" customHeight="true" outlineLevel="0" collapsed="false">
      <c r="A1730" s="5" t="str">
        <f aca="false">HYPERLINK("https://www.fabsurplus.com/sdi_catalog/salesItemDetails.do?id=102307")</f>
        <v>https://www.fabsurplus.com/sdi_catalog/salesItemDetails.do?id=102307</v>
      </c>
      <c r="B1730" s="5" t="s">
        <v>4737</v>
      </c>
      <c r="C1730" s="5" t="s">
        <v>4716</v>
      </c>
      <c r="D1730" s="5" t="s">
        <v>4733</v>
      </c>
      <c r="E1730" s="5" t="s">
        <v>4734</v>
      </c>
      <c r="F1730" s="5" t="s">
        <v>16</v>
      </c>
      <c r="G1730" s="5" t="s">
        <v>17</v>
      </c>
      <c r="H1730" s="5"/>
      <c r="I1730" s="6" t="n">
        <v>38869</v>
      </c>
      <c r="J1730" s="5" t="s">
        <v>19</v>
      </c>
      <c r="K1730" s="5"/>
      <c r="L1730" s="5"/>
    </row>
    <row r="1731" customFormat="false" ht="13.35" hidden="false" customHeight="true" outlineLevel="0" collapsed="false">
      <c r="A1731" s="2" t="str">
        <f aca="false">HYPERLINK("https://www.fabsurplus.com/sdi_catalog/salesItemDetails.do?id=102308")</f>
        <v>https://www.fabsurplus.com/sdi_catalog/salesItemDetails.do?id=102308</v>
      </c>
      <c r="B1731" s="2" t="s">
        <v>4738</v>
      </c>
      <c r="C1731" s="2" t="s">
        <v>4716</v>
      </c>
      <c r="D1731" s="2" t="s">
        <v>4733</v>
      </c>
      <c r="E1731" s="2" t="s">
        <v>4734</v>
      </c>
      <c r="F1731" s="2" t="s">
        <v>16</v>
      </c>
      <c r="G1731" s="2" t="s">
        <v>17</v>
      </c>
      <c r="H1731" s="2"/>
      <c r="I1731" s="3" t="n">
        <v>38869</v>
      </c>
      <c r="J1731" s="2" t="s">
        <v>19</v>
      </c>
      <c r="K1731" s="2"/>
      <c r="L1731" s="2"/>
    </row>
    <row r="1732" customFormat="false" ht="13.35" hidden="false" customHeight="true" outlineLevel="0" collapsed="false">
      <c r="A1732" s="5" t="str">
        <f aca="false">HYPERLINK("https://www.fabsurplus.com/sdi_catalog/salesItemDetails.do?id=102303")</f>
        <v>https://www.fabsurplus.com/sdi_catalog/salesItemDetails.do?id=102303</v>
      </c>
      <c r="B1732" s="5" t="s">
        <v>4739</v>
      </c>
      <c r="C1732" s="5" t="s">
        <v>4716</v>
      </c>
      <c r="D1732" s="5" t="s">
        <v>4733</v>
      </c>
      <c r="E1732" s="5" t="s">
        <v>3688</v>
      </c>
      <c r="F1732" s="5" t="s">
        <v>16</v>
      </c>
      <c r="G1732" s="5" t="s">
        <v>17</v>
      </c>
      <c r="H1732" s="5"/>
      <c r="I1732" s="5"/>
      <c r="J1732" s="5" t="s">
        <v>19</v>
      </c>
      <c r="K1732" s="5"/>
      <c r="L1732" s="5"/>
    </row>
    <row r="1733" customFormat="false" ht="13.35" hidden="false" customHeight="true" outlineLevel="0" collapsed="false">
      <c r="A1733" s="2" t="str">
        <f aca="false">HYPERLINK("https://www.fabsurplus.com/sdi_catalog/salesItemDetails.do?id=91526")</f>
        <v>https://www.fabsurplus.com/sdi_catalog/salesItemDetails.do?id=91526</v>
      </c>
      <c r="B1733" s="2" t="s">
        <v>4740</v>
      </c>
      <c r="C1733" s="2" t="s">
        <v>4722</v>
      </c>
      <c r="D1733" s="2" t="s">
        <v>4741</v>
      </c>
      <c r="E1733" s="2" t="s">
        <v>3685</v>
      </c>
      <c r="F1733" s="2" t="s">
        <v>16</v>
      </c>
      <c r="G1733" s="2" t="s">
        <v>17</v>
      </c>
      <c r="H1733" s="2" t="s">
        <v>26</v>
      </c>
      <c r="I1733" s="3" t="n">
        <v>37773</v>
      </c>
      <c r="J1733" s="2" t="s">
        <v>19</v>
      </c>
      <c r="K1733" s="2" t="s">
        <v>20</v>
      </c>
      <c r="L1733" s="4" t="s">
        <v>4742</v>
      </c>
    </row>
    <row r="1734" customFormat="false" ht="13.35" hidden="false" customHeight="true" outlineLevel="0" collapsed="false">
      <c r="A1734" s="5" t="str">
        <f aca="false">HYPERLINK("https://www.fabsurplus.com/sdi_catalog/salesItemDetails.do?id=91527")</f>
        <v>https://www.fabsurplus.com/sdi_catalog/salesItemDetails.do?id=91527</v>
      </c>
      <c r="B1734" s="5" t="s">
        <v>4743</v>
      </c>
      <c r="C1734" s="5" t="s">
        <v>4722</v>
      </c>
      <c r="D1734" s="5" t="s">
        <v>4741</v>
      </c>
      <c r="E1734" s="5" t="s">
        <v>3685</v>
      </c>
      <c r="F1734" s="5" t="s">
        <v>16</v>
      </c>
      <c r="G1734" s="5" t="s">
        <v>17</v>
      </c>
      <c r="H1734" s="5" t="s">
        <v>26</v>
      </c>
      <c r="I1734" s="6" t="n">
        <v>40330</v>
      </c>
      <c r="J1734" s="5" t="s">
        <v>19</v>
      </c>
      <c r="K1734" s="5" t="s">
        <v>20</v>
      </c>
      <c r="L1734" s="7" t="s">
        <v>4744</v>
      </c>
    </row>
    <row r="1735" customFormat="false" ht="13.35" hidden="false" customHeight="true" outlineLevel="0" collapsed="false">
      <c r="A1735" s="2" t="str">
        <f aca="false">HYPERLINK("https://www.fabsurplus.com/sdi_catalog/salesItemDetails.do?id=91528")</f>
        <v>https://www.fabsurplus.com/sdi_catalog/salesItemDetails.do?id=91528</v>
      </c>
      <c r="B1735" s="2" t="s">
        <v>4745</v>
      </c>
      <c r="C1735" s="2" t="s">
        <v>4722</v>
      </c>
      <c r="D1735" s="2" t="s">
        <v>4741</v>
      </c>
      <c r="E1735" s="2" t="s">
        <v>3685</v>
      </c>
      <c r="F1735" s="2" t="s">
        <v>16</v>
      </c>
      <c r="G1735" s="2" t="s">
        <v>17</v>
      </c>
      <c r="H1735" s="2" t="s">
        <v>26</v>
      </c>
      <c r="I1735" s="3" t="n">
        <v>40057</v>
      </c>
      <c r="J1735" s="2" t="s">
        <v>19</v>
      </c>
      <c r="K1735" s="2" t="s">
        <v>20</v>
      </c>
      <c r="L1735" s="4" t="s">
        <v>4742</v>
      </c>
    </row>
    <row r="1736" customFormat="false" ht="13.35" hidden="false" customHeight="true" outlineLevel="0" collapsed="false">
      <c r="A1736" s="5" t="str">
        <f aca="false">HYPERLINK("https://www.fabsurplus.com/sdi_catalog/salesItemDetails.do?id=91529")</f>
        <v>https://www.fabsurplus.com/sdi_catalog/salesItemDetails.do?id=91529</v>
      </c>
      <c r="B1736" s="5" t="s">
        <v>4746</v>
      </c>
      <c r="C1736" s="5" t="s">
        <v>4722</v>
      </c>
      <c r="D1736" s="5" t="s">
        <v>4741</v>
      </c>
      <c r="E1736" s="5" t="s">
        <v>3685</v>
      </c>
      <c r="F1736" s="5" t="s">
        <v>16</v>
      </c>
      <c r="G1736" s="5" t="s">
        <v>17</v>
      </c>
      <c r="H1736" s="5" t="s">
        <v>26</v>
      </c>
      <c r="I1736" s="6" t="n">
        <v>40238</v>
      </c>
      <c r="J1736" s="5" t="s">
        <v>19</v>
      </c>
      <c r="K1736" s="5" t="s">
        <v>20</v>
      </c>
      <c r="L1736" s="7" t="s">
        <v>4742</v>
      </c>
    </row>
    <row r="1737" customFormat="false" ht="13.35" hidden="false" customHeight="true" outlineLevel="0" collapsed="false">
      <c r="A1737" s="2" t="str">
        <f aca="false">HYPERLINK("https://www.fabsurplus.com/sdi_catalog/salesItemDetails.do?id=98482")</f>
        <v>https://www.fabsurplus.com/sdi_catalog/salesItemDetails.do?id=98482</v>
      </c>
      <c r="B1737" s="2" t="s">
        <v>4747</v>
      </c>
      <c r="C1737" s="2" t="s">
        <v>4716</v>
      </c>
      <c r="D1737" s="2" t="s">
        <v>4748</v>
      </c>
      <c r="E1737" s="2" t="s">
        <v>4749</v>
      </c>
      <c r="F1737" s="2" t="s">
        <v>16</v>
      </c>
      <c r="G1737" s="2" t="s">
        <v>658</v>
      </c>
      <c r="H1737" s="2" t="s">
        <v>18</v>
      </c>
      <c r="I1737" s="2"/>
      <c r="J1737" s="2" t="s">
        <v>19</v>
      </c>
      <c r="K1737" s="2"/>
      <c r="L1737" s="2" t="s">
        <v>1417</v>
      </c>
    </row>
    <row r="1738" customFormat="false" ht="13.35" hidden="false" customHeight="true" outlineLevel="0" collapsed="false">
      <c r="A1738" s="5" t="str">
        <f aca="false">HYPERLINK("https://www.fabsurplus.com/sdi_catalog/salesItemDetails.do?id=102311")</f>
        <v>https://www.fabsurplus.com/sdi_catalog/salesItemDetails.do?id=102311</v>
      </c>
      <c r="B1738" s="5" t="s">
        <v>4750</v>
      </c>
      <c r="C1738" s="5" t="s">
        <v>4716</v>
      </c>
      <c r="D1738" s="5" t="s">
        <v>4751</v>
      </c>
      <c r="E1738" s="5" t="s">
        <v>4752</v>
      </c>
      <c r="F1738" s="5" t="s">
        <v>16</v>
      </c>
      <c r="G1738" s="5" t="s">
        <v>17</v>
      </c>
      <c r="H1738" s="5"/>
      <c r="I1738" s="6" t="n">
        <v>37408</v>
      </c>
      <c r="J1738" s="5" t="s">
        <v>19</v>
      </c>
      <c r="K1738" s="5"/>
      <c r="L1738" s="5"/>
    </row>
    <row r="1739" customFormat="false" ht="13.35" hidden="false" customHeight="true" outlineLevel="0" collapsed="false">
      <c r="A1739" s="2" t="str">
        <f aca="false">HYPERLINK("https://www.fabsurplus.com/sdi_catalog/salesItemDetails.do?id=102310")</f>
        <v>https://www.fabsurplus.com/sdi_catalog/salesItemDetails.do?id=102310</v>
      </c>
      <c r="B1739" s="2" t="s">
        <v>4753</v>
      </c>
      <c r="C1739" s="2" t="s">
        <v>4716</v>
      </c>
      <c r="D1739" s="2" t="s">
        <v>4751</v>
      </c>
      <c r="E1739" s="2" t="s">
        <v>4734</v>
      </c>
      <c r="F1739" s="2" t="s">
        <v>16</v>
      </c>
      <c r="G1739" s="2" t="s">
        <v>17</v>
      </c>
      <c r="H1739" s="2"/>
      <c r="I1739" s="3" t="n">
        <v>37773</v>
      </c>
      <c r="J1739" s="2" t="s">
        <v>19</v>
      </c>
      <c r="K1739" s="2"/>
      <c r="L1739" s="2"/>
    </row>
    <row r="1740" customFormat="false" ht="13.35" hidden="false" customHeight="true" outlineLevel="0" collapsed="false">
      <c r="A1740" s="2" t="str">
        <f aca="false">HYPERLINK("https://www.fabsurplus.com/sdi_catalog/salesItemDetails.do?id=102312")</f>
        <v>https://www.fabsurplus.com/sdi_catalog/salesItemDetails.do?id=102312</v>
      </c>
      <c r="B1740" s="2" t="s">
        <v>4754</v>
      </c>
      <c r="C1740" s="2" t="s">
        <v>4716</v>
      </c>
      <c r="D1740" s="2" t="s">
        <v>4751</v>
      </c>
      <c r="E1740" s="2" t="s">
        <v>4734</v>
      </c>
      <c r="F1740" s="2" t="s">
        <v>16</v>
      </c>
      <c r="G1740" s="2" t="s">
        <v>17</v>
      </c>
      <c r="H1740" s="2"/>
      <c r="I1740" s="3" t="n">
        <v>37408</v>
      </c>
      <c r="J1740" s="2" t="s">
        <v>19</v>
      </c>
      <c r="K1740" s="2"/>
      <c r="L1740" s="2"/>
    </row>
    <row r="1741" customFormat="false" ht="13.35" hidden="false" customHeight="true" outlineLevel="0" collapsed="false">
      <c r="A1741" s="5" t="str">
        <f aca="false">HYPERLINK("https://www.fabsurplus.com/sdi_catalog/salesItemDetails.do?id=102313")</f>
        <v>https://www.fabsurplus.com/sdi_catalog/salesItemDetails.do?id=102313</v>
      </c>
      <c r="B1741" s="5" t="s">
        <v>4755</v>
      </c>
      <c r="C1741" s="5" t="s">
        <v>4716</v>
      </c>
      <c r="D1741" s="5" t="s">
        <v>4751</v>
      </c>
      <c r="E1741" s="5" t="s">
        <v>4734</v>
      </c>
      <c r="F1741" s="5" t="s">
        <v>16</v>
      </c>
      <c r="G1741" s="5" t="s">
        <v>17</v>
      </c>
      <c r="H1741" s="5"/>
      <c r="I1741" s="5"/>
      <c r="J1741" s="5" t="s">
        <v>19</v>
      </c>
      <c r="K1741" s="5"/>
      <c r="L1741" s="5"/>
    </row>
    <row r="1742" customFormat="false" ht="13.35" hidden="false" customHeight="true" outlineLevel="0" collapsed="false">
      <c r="A1742" s="5" t="str">
        <f aca="false">HYPERLINK("https://www.fabsurplus.com/sdi_catalog/salesItemDetails.do?id=102309")</f>
        <v>https://www.fabsurplus.com/sdi_catalog/salesItemDetails.do?id=102309</v>
      </c>
      <c r="B1742" s="5" t="s">
        <v>4756</v>
      </c>
      <c r="C1742" s="5" t="s">
        <v>4716</v>
      </c>
      <c r="D1742" s="5" t="s">
        <v>4751</v>
      </c>
      <c r="E1742" s="5" t="s">
        <v>3688</v>
      </c>
      <c r="F1742" s="5" t="s">
        <v>16</v>
      </c>
      <c r="G1742" s="5" t="s">
        <v>17</v>
      </c>
      <c r="H1742" s="5"/>
      <c r="I1742" s="6" t="n">
        <v>37773</v>
      </c>
      <c r="J1742" s="5" t="s">
        <v>19</v>
      </c>
      <c r="K1742" s="5"/>
      <c r="L1742" s="5"/>
    </row>
    <row r="1743" customFormat="false" ht="13.35" hidden="false" customHeight="true" outlineLevel="0" collapsed="false">
      <c r="A1743" s="5" t="str">
        <f aca="false">HYPERLINK("https://www.fabsurplus.com/sdi_catalog/salesItemDetails.do?id=98289")</f>
        <v>https://www.fabsurplus.com/sdi_catalog/salesItemDetails.do?id=98289</v>
      </c>
      <c r="B1743" s="5" t="s">
        <v>4757</v>
      </c>
      <c r="C1743" s="5" t="s">
        <v>4722</v>
      </c>
      <c r="D1743" s="5" t="s">
        <v>4758</v>
      </c>
      <c r="E1743" s="5" t="s">
        <v>4759</v>
      </c>
      <c r="F1743" s="5" t="s">
        <v>16</v>
      </c>
      <c r="G1743" s="5" t="s">
        <v>17</v>
      </c>
      <c r="H1743" s="5"/>
      <c r="I1743" s="6" t="n">
        <v>38504</v>
      </c>
      <c r="J1743" s="5" t="s">
        <v>19</v>
      </c>
      <c r="K1743" s="5"/>
      <c r="L1743" s="5"/>
    </row>
    <row r="1744" customFormat="false" ht="13.35" hidden="false" customHeight="true" outlineLevel="0" collapsed="false">
      <c r="A1744" s="2" t="str">
        <f aca="false">HYPERLINK("https://www.fabsurplus.com/sdi_catalog/salesItemDetails.do?id=98290")</f>
        <v>https://www.fabsurplus.com/sdi_catalog/salesItemDetails.do?id=98290</v>
      </c>
      <c r="B1744" s="2" t="s">
        <v>4760</v>
      </c>
      <c r="C1744" s="2" t="s">
        <v>4722</v>
      </c>
      <c r="D1744" s="2" t="s">
        <v>4758</v>
      </c>
      <c r="E1744" s="2" t="s">
        <v>4759</v>
      </c>
      <c r="F1744" s="2" t="s">
        <v>16</v>
      </c>
      <c r="G1744" s="2" t="s">
        <v>17</v>
      </c>
      <c r="H1744" s="2"/>
      <c r="I1744" s="3" t="n">
        <v>38504</v>
      </c>
      <c r="J1744" s="2" t="s">
        <v>19</v>
      </c>
      <c r="K1744" s="2"/>
      <c r="L1744" s="2"/>
    </row>
    <row r="1745" customFormat="false" ht="13.35" hidden="false" customHeight="true" outlineLevel="0" collapsed="false">
      <c r="A1745" s="5" t="str">
        <f aca="false">HYPERLINK("https://www.fabsurplus.com/sdi_catalog/salesItemDetails.do?id=98291")</f>
        <v>https://www.fabsurplus.com/sdi_catalog/salesItemDetails.do?id=98291</v>
      </c>
      <c r="B1745" s="5" t="s">
        <v>4761</v>
      </c>
      <c r="C1745" s="5" t="s">
        <v>4722</v>
      </c>
      <c r="D1745" s="5" t="s">
        <v>4758</v>
      </c>
      <c r="E1745" s="5" t="s">
        <v>4759</v>
      </c>
      <c r="F1745" s="5" t="s">
        <v>16</v>
      </c>
      <c r="G1745" s="5" t="s">
        <v>17</v>
      </c>
      <c r="H1745" s="5" t="s">
        <v>26</v>
      </c>
      <c r="I1745" s="6" t="n">
        <v>38899</v>
      </c>
      <c r="J1745" s="5" t="s">
        <v>19</v>
      </c>
      <c r="K1745" s="5" t="s">
        <v>20</v>
      </c>
      <c r="L1745" s="7" t="s">
        <v>4762</v>
      </c>
    </row>
    <row r="1746" customFormat="false" ht="13.35" hidden="false" customHeight="true" outlineLevel="0" collapsed="false">
      <c r="A1746" s="2" t="str">
        <f aca="false">HYPERLINK("https://www.fabsurplus.com/sdi_catalog/salesItemDetails.do?id=101585")</f>
        <v>https://www.fabsurplus.com/sdi_catalog/salesItemDetails.do?id=101585</v>
      </c>
      <c r="B1746" s="2" t="s">
        <v>4763</v>
      </c>
      <c r="C1746" s="2" t="s">
        <v>4722</v>
      </c>
      <c r="D1746" s="2" t="s">
        <v>4764</v>
      </c>
      <c r="E1746" s="2" t="s">
        <v>4734</v>
      </c>
      <c r="F1746" s="2" t="s">
        <v>16</v>
      </c>
      <c r="G1746" s="2" t="s">
        <v>17</v>
      </c>
      <c r="H1746" s="2"/>
      <c r="I1746" s="3" t="n">
        <v>38899</v>
      </c>
      <c r="J1746" s="2" t="s">
        <v>19</v>
      </c>
      <c r="K1746" s="2"/>
      <c r="L1746" s="4" t="s">
        <v>654</v>
      </c>
    </row>
    <row r="1747" customFormat="false" ht="13.35" hidden="false" customHeight="true" outlineLevel="0" collapsed="false">
      <c r="A1747" s="5" t="str">
        <f aca="false">HYPERLINK("https://www.fabsurplus.com/sdi_catalog/salesItemDetails.do?id=98483")</f>
        <v>https://www.fabsurplus.com/sdi_catalog/salesItemDetails.do?id=98483</v>
      </c>
      <c r="B1747" s="5" t="s">
        <v>4765</v>
      </c>
      <c r="C1747" s="5" t="s">
        <v>4716</v>
      </c>
      <c r="D1747" s="5" t="s">
        <v>4766</v>
      </c>
      <c r="E1747" s="5" t="s">
        <v>4767</v>
      </c>
      <c r="F1747" s="5" t="s">
        <v>16</v>
      </c>
      <c r="G1747" s="5" t="s">
        <v>17</v>
      </c>
      <c r="H1747" s="5" t="s">
        <v>18</v>
      </c>
      <c r="I1747" s="5"/>
      <c r="J1747" s="5" t="s">
        <v>19</v>
      </c>
      <c r="K1747" s="5" t="s">
        <v>20</v>
      </c>
      <c r="L1747" s="7" t="s">
        <v>4768</v>
      </c>
    </row>
    <row r="1748" customFormat="false" ht="13.35" hidden="false" customHeight="true" outlineLevel="0" collapsed="false">
      <c r="A1748" s="5" t="str">
        <f aca="false">HYPERLINK("https://www.fabsurplus.com/sdi_catalog/salesItemDetails.do?id=91530")</f>
        <v>https://www.fabsurplus.com/sdi_catalog/salesItemDetails.do?id=91530</v>
      </c>
      <c r="B1748" s="5" t="s">
        <v>4769</v>
      </c>
      <c r="C1748" s="5" t="s">
        <v>4722</v>
      </c>
      <c r="D1748" s="5" t="s">
        <v>4770</v>
      </c>
      <c r="E1748" s="5" t="s">
        <v>4759</v>
      </c>
      <c r="F1748" s="5" t="s">
        <v>16</v>
      </c>
      <c r="G1748" s="5" t="s">
        <v>36</v>
      </c>
      <c r="H1748" s="5"/>
      <c r="I1748" s="5"/>
      <c r="J1748" s="5" t="s">
        <v>19</v>
      </c>
      <c r="K1748" s="5"/>
      <c r="L1748" s="5" t="s">
        <v>112</v>
      </c>
    </row>
    <row r="1749" customFormat="false" ht="13.35" hidden="false" customHeight="true" outlineLevel="0" collapsed="false">
      <c r="A1749" s="2" t="str">
        <f aca="false">HYPERLINK("https://www.fabsurplus.com/sdi_catalog/salesItemDetails.do?id=91531")</f>
        <v>https://www.fabsurplus.com/sdi_catalog/salesItemDetails.do?id=91531</v>
      </c>
      <c r="B1749" s="2" t="s">
        <v>4771</v>
      </c>
      <c r="C1749" s="2" t="s">
        <v>4722</v>
      </c>
      <c r="D1749" s="2" t="s">
        <v>4772</v>
      </c>
      <c r="E1749" s="2" t="s">
        <v>3405</v>
      </c>
      <c r="F1749" s="2" t="s">
        <v>16</v>
      </c>
      <c r="G1749" s="2"/>
      <c r="H1749" s="2"/>
      <c r="I1749" s="2"/>
      <c r="J1749" s="2" t="s">
        <v>19</v>
      </c>
      <c r="K1749" s="2"/>
      <c r="L1749" s="2" t="s">
        <v>112</v>
      </c>
    </row>
    <row r="1750" customFormat="false" ht="13.35" hidden="false" customHeight="true" outlineLevel="0" collapsed="false">
      <c r="A1750" s="5" t="str">
        <f aca="false">HYPERLINK("https://www.fabsurplus.com/sdi_catalog/salesItemDetails.do?id=102315")</f>
        <v>https://www.fabsurplus.com/sdi_catalog/salesItemDetails.do?id=102315</v>
      </c>
      <c r="B1750" s="5" t="s">
        <v>4773</v>
      </c>
      <c r="C1750" s="5" t="s">
        <v>4716</v>
      </c>
      <c r="D1750" s="5" t="s">
        <v>4774</v>
      </c>
      <c r="E1750" s="5" t="s">
        <v>4734</v>
      </c>
      <c r="F1750" s="5" t="s">
        <v>16</v>
      </c>
      <c r="G1750" s="5" t="s">
        <v>36</v>
      </c>
      <c r="H1750" s="5"/>
      <c r="I1750" s="6" t="n">
        <v>37408</v>
      </c>
      <c r="J1750" s="5" t="s">
        <v>19</v>
      </c>
      <c r="K1750" s="5"/>
      <c r="L1750" s="5"/>
    </row>
    <row r="1751" customFormat="false" ht="13.35" hidden="false" customHeight="true" outlineLevel="0" collapsed="false">
      <c r="A1751" s="2" t="str">
        <f aca="false">HYPERLINK("https://www.fabsurplus.com/sdi_catalog/salesItemDetails.do?id=102314")</f>
        <v>https://www.fabsurplus.com/sdi_catalog/salesItemDetails.do?id=102314</v>
      </c>
      <c r="B1751" s="2" t="s">
        <v>4775</v>
      </c>
      <c r="C1751" s="2" t="s">
        <v>4716</v>
      </c>
      <c r="D1751" s="2" t="s">
        <v>4774</v>
      </c>
      <c r="E1751" s="2" t="s">
        <v>3688</v>
      </c>
      <c r="F1751" s="2" t="s">
        <v>16</v>
      </c>
      <c r="G1751" s="2" t="s">
        <v>36</v>
      </c>
      <c r="H1751" s="2"/>
      <c r="I1751" s="3" t="n">
        <v>36678</v>
      </c>
      <c r="J1751" s="2" t="s">
        <v>19</v>
      </c>
      <c r="K1751" s="2"/>
      <c r="L1751" s="2"/>
    </row>
    <row r="1752" customFormat="false" ht="13.35" hidden="false" customHeight="true" outlineLevel="0" collapsed="false">
      <c r="A1752" s="5" t="str">
        <f aca="false">HYPERLINK("https://www.fabsurplus.com/sdi_catalog/salesItemDetails.do?id=91532")</f>
        <v>https://www.fabsurplus.com/sdi_catalog/salesItemDetails.do?id=91532</v>
      </c>
      <c r="B1752" s="5" t="s">
        <v>4776</v>
      </c>
      <c r="C1752" s="5" t="s">
        <v>4716</v>
      </c>
      <c r="D1752" s="5" t="s">
        <v>4777</v>
      </c>
      <c r="E1752" s="5" t="s">
        <v>4778</v>
      </c>
      <c r="F1752" s="5" t="s">
        <v>16</v>
      </c>
      <c r="G1752" s="5" t="s">
        <v>36</v>
      </c>
      <c r="H1752" s="5" t="s">
        <v>26</v>
      </c>
      <c r="I1752" s="5"/>
      <c r="J1752" s="5" t="s">
        <v>19</v>
      </c>
      <c r="K1752" s="5" t="s">
        <v>20</v>
      </c>
      <c r="L1752" s="7" t="s">
        <v>4779</v>
      </c>
    </row>
    <row r="1753" customFormat="false" ht="13.35" hidden="false" customHeight="true" outlineLevel="0" collapsed="false">
      <c r="A1753" s="2" t="str">
        <f aca="false">HYPERLINK("https://www.fabsurplus.com/sdi_catalog/salesItemDetails.do?id=103037")</f>
        <v>https://www.fabsurplus.com/sdi_catalog/salesItemDetails.do?id=103037</v>
      </c>
      <c r="B1753" s="2" t="s">
        <v>4780</v>
      </c>
      <c r="C1753" s="2" t="s">
        <v>4781</v>
      </c>
      <c r="D1753" s="2" t="s">
        <v>4782</v>
      </c>
      <c r="E1753" s="2" t="s">
        <v>4783</v>
      </c>
      <c r="F1753" s="2" t="s">
        <v>16</v>
      </c>
      <c r="G1753" s="2" t="s">
        <v>3996</v>
      </c>
      <c r="H1753" s="2"/>
      <c r="I1753" s="2"/>
      <c r="J1753" s="2" t="s">
        <v>19</v>
      </c>
      <c r="K1753" s="2"/>
      <c r="L1753" s="4" t="s">
        <v>4784</v>
      </c>
    </row>
    <row r="1754" customFormat="false" ht="13.35" hidden="false" customHeight="true" outlineLevel="0" collapsed="false">
      <c r="A1754" s="2" t="str">
        <f aca="false">HYPERLINK("https://www.fabsurplus.com/sdi_catalog/salesItemDetails.do?id=33654")</f>
        <v>https://www.fabsurplus.com/sdi_catalog/salesItemDetails.do?id=33654</v>
      </c>
      <c r="B1754" s="2" t="s">
        <v>4785</v>
      </c>
      <c r="C1754" s="2" t="s">
        <v>4786</v>
      </c>
      <c r="D1754" s="2" t="s">
        <v>4787</v>
      </c>
      <c r="E1754" s="2" t="s">
        <v>4788</v>
      </c>
      <c r="F1754" s="2" t="s">
        <v>16</v>
      </c>
      <c r="G1754" s="2"/>
      <c r="H1754" s="2"/>
      <c r="I1754" s="2"/>
      <c r="J1754" s="2" t="s">
        <v>19</v>
      </c>
      <c r="K1754" s="2"/>
      <c r="L1754" s="2" t="s">
        <v>4788</v>
      </c>
    </row>
    <row r="1755" customFormat="false" ht="13.35" hidden="false" customHeight="true" outlineLevel="0" collapsed="false">
      <c r="A1755" s="5" t="str">
        <f aca="false">HYPERLINK("https://www.fabsurplus.com/sdi_catalog/salesItemDetails.do?id=64780")</f>
        <v>https://www.fabsurplus.com/sdi_catalog/salesItemDetails.do?id=64780</v>
      </c>
      <c r="B1755" s="5" t="s">
        <v>4789</v>
      </c>
      <c r="C1755" s="5" t="s">
        <v>4786</v>
      </c>
      <c r="D1755" s="5" t="s">
        <v>4787</v>
      </c>
      <c r="E1755" s="5" t="s">
        <v>4790</v>
      </c>
      <c r="F1755" s="5" t="s">
        <v>16</v>
      </c>
      <c r="G1755" s="5"/>
      <c r="H1755" s="5"/>
      <c r="I1755" s="5"/>
      <c r="J1755" s="5" t="s">
        <v>19</v>
      </c>
      <c r="K1755" s="5"/>
      <c r="L1755" s="5"/>
    </row>
    <row r="1756" customFormat="false" ht="13.35" hidden="false" customHeight="true" outlineLevel="0" collapsed="false">
      <c r="A1756" s="5" t="str">
        <f aca="false">HYPERLINK("https://www.fabsurplus.com/sdi_catalog/salesItemDetails.do?id=87600")</f>
        <v>https://www.fabsurplus.com/sdi_catalog/salesItemDetails.do?id=87600</v>
      </c>
      <c r="B1756" s="5" t="s">
        <v>4791</v>
      </c>
      <c r="C1756" s="5" t="s">
        <v>4786</v>
      </c>
      <c r="D1756" s="5" t="s">
        <v>4792</v>
      </c>
      <c r="E1756" s="5" t="s">
        <v>4793</v>
      </c>
      <c r="F1756" s="5" t="s">
        <v>16</v>
      </c>
      <c r="G1756" s="5"/>
      <c r="H1756" s="5"/>
      <c r="I1756" s="5"/>
      <c r="J1756" s="5" t="s">
        <v>19</v>
      </c>
      <c r="K1756" s="5"/>
      <c r="L1756" s="5"/>
    </row>
    <row r="1757" customFormat="false" ht="13.35" hidden="false" customHeight="true" outlineLevel="0" collapsed="false">
      <c r="A1757" s="2" t="str">
        <f aca="false">HYPERLINK("https://www.fabsurplus.com/sdi_catalog/salesItemDetails.do?id=101346")</f>
        <v>https://www.fabsurplus.com/sdi_catalog/salesItemDetails.do?id=101346</v>
      </c>
      <c r="B1757" s="2" t="s">
        <v>4794</v>
      </c>
      <c r="C1757" s="2" t="s">
        <v>4781</v>
      </c>
      <c r="D1757" s="2" t="s">
        <v>4795</v>
      </c>
      <c r="E1757" s="2" t="s">
        <v>4796</v>
      </c>
      <c r="F1757" s="2" t="s">
        <v>16</v>
      </c>
      <c r="G1757" s="2" t="s">
        <v>862</v>
      </c>
      <c r="H1757" s="2"/>
      <c r="I1757" s="2"/>
      <c r="J1757" s="2" t="s">
        <v>19</v>
      </c>
      <c r="K1757" s="2"/>
      <c r="L1757" s="2"/>
    </row>
    <row r="1758" customFormat="false" ht="13.35" hidden="false" customHeight="true" outlineLevel="0" collapsed="false">
      <c r="A1758" s="5" t="str">
        <f aca="false">HYPERLINK("https://www.fabsurplus.com/sdi_catalog/salesItemDetails.do?id=97868")</f>
        <v>https://www.fabsurplus.com/sdi_catalog/salesItemDetails.do?id=97868</v>
      </c>
      <c r="B1758" s="5" t="s">
        <v>4797</v>
      </c>
      <c r="C1758" s="5" t="s">
        <v>4798</v>
      </c>
      <c r="D1758" s="5" t="s">
        <v>4799</v>
      </c>
      <c r="E1758" s="5" t="s">
        <v>4800</v>
      </c>
      <c r="F1758" s="5" t="s">
        <v>16</v>
      </c>
      <c r="G1758" s="5"/>
      <c r="H1758" s="5"/>
      <c r="I1758" s="5"/>
      <c r="J1758" s="5" t="s">
        <v>19</v>
      </c>
      <c r="K1758" s="5"/>
      <c r="L1758" s="5"/>
    </row>
    <row r="1759" customFormat="false" ht="13.35" hidden="false" customHeight="true" outlineLevel="0" collapsed="false">
      <c r="A1759" s="2" t="str">
        <f aca="false">HYPERLINK("https://www.fabsurplus.com/sdi_catalog/salesItemDetails.do?id=101002")</f>
        <v>https://www.fabsurplus.com/sdi_catalog/salesItemDetails.do?id=101002</v>
      </c>
      <c r="B1759" s="2" t="s">
        <v>4801</v>
      </c>
      <c r="C1759" s="2" t="s">
        <v>4802</v>
      </c>
      <c r="D1759" s="2" t="s">
        <v>4803</v>
      </c>
      <c r="E1759" s="2" t="s">
        <v>169</v>
      </c>
      <c r="F1759" s="2" t="s">
        <v>16</v>
      </c>
      <c r="G1759" s="2"/>
      <c r="H1759" s="2" t="s">
        <v>1421</v>
      </c>
      <c r="I1759" s="2"/>
      <c r="J1759" s="2" t="s">
        <v>19</v>
      </c>
      <c r="K1759" s="2"/>
      <c r="L1759" s="2" t="s">
        <v>4804</v>
      </c>
    </row>
    <row r="1760" customFormat="false" ht="13.35" hidden="false" customHeight="true" outlineLevel="0" collapsed="false">
      <c r="A1760" s="5" t="str">
        <f aca="false">HYPERLINK("https://www.fabsurplus.com/sdi_catalog/salesItemDetails.do?id=84205")</f>
        <v>https://www.fabsurplus.com/sdi_catalog/salesItemDetails.do?id=84205</v>
      </c>
      <c r="B1760" s="5" t="s">
        <v>4805</v>
      </c>
      <c r="C1760" s="5" t="s">
        <v>4806</v>
      </c>
      <c r="D1760" s="5" t="s">
        <v>4807</v>
      </c>
      <c r="E1760" s="5" t="s">
        <v>4808</v>
      </c>
      <c r="F1760" s="5" t="s">
        <v>125</v>
      </c>
      <c r="G1760" s="5" t="s">
        <v>240</v>
      </c>
      <c r="H1760" s="5" t="s">
        <v>18</v>
      </c>
      <c r="I1760" s="6" t="n">
        <v>38504</v>
      </c>
      <c r="J1760" s="5" t="s">
        <v>19</v>
      </c>
      <c r="K1760" s="5" t="s">
        <v>20</v>
      </c>
      <c r="L1760" s="7" t="s">
        <v>4809</v>
      </c>
    </row>
    <row r="1761" customFormat="false" ht="13.35" hidden="false" customHeight="true" outlineLevel="0" collapsed="false">
      <c r="A1761" s="5" t="str">
        <f aca="false">HYPERLINK("https://www.fabsurplus.com/sdi_catalog/salesItemDetails.do?id=88397")</f>
        <v>https://www.fabsurplus.com/sdi_catalog/salesItemDetails.do?id=88397</v>
      </c>
      <c r="B1761" s="5" t="s">
        <v>4810</v>
      </c>
      <c r="C1761" s="5" t="s">
        <v>4802</v>
      </c>
      <c r="D1761" s="5" t="s">
        <v>4811</v>
      </c>
      <c r="E1761" s="5" t="s">
        <v>233</v>
      </c>
      <c r="F1761" s="5" t="s">
        <v>16</v>
      </c>
      <c r="G1761" s="5" t="s">
        <v>181</v>
      </c>
      <c r="H1761" s="5"/>
      <c r="I1761" s="5"/>
      <c r="J1761" s="5" t="s">
        <v>47</v>
      </c>
      <c r="K1761" s="5"/>
      <c r="L1761" s="7" t="s">
        <v>234</v>
      </c>
    </row>
    <row r="1762" customFormat="false" ht="13.35" hidden="false" customHeight="true" outlineLevel="0" collapsed="false">
      <c r="A1762" s="2" t="str">
        <f aca="false">HYPERLINK("https://www.fabsurplus.com/sdi_catalog/salesItemDetails.do?id=92459")</f>
        <v>https://www.fabsurplus.com/sdi_catalog/salesItemDetails.do?id=92459</v>
      </c>
      <c r="B1762" s="2" t="s">
        <v>4812</v>
      </c>
      <c r="C1762" s="2" t="s">
        <v>4806</v>
      </c>
      <c r="D1762" s="2" t="s">
        <v>4811</v>
      </c>
      <c r="E1762" s="2" t="s">
        <v>229</v>
      </c>
      <c r="F1762" s="2" t="s">
        <v>16</v>
      </c>
      <c r="G1762" s="2"/>
      <c r="H1762" s="2"/>
      <c r="I1762" s="2"/>
      <c r="J1762" s="2" t="s">
        <v>47</v>
      </c>
      <c r="K1762" s="2"/>
      <c r="L1762" s="2" t="s">
        <v>48</v>
      </c>
    </row>
    <row r="1763" customFormat="false" ht="13.35" hidden="false" customHeight="true" outlineLevel="0" collapsed="false">
      <c r="A1763" s="2" t="str">
        <f aca="false">HYPERLINK("https://www.fabsurplus.com/sdi_catalog/salesItemDetails.do?id=99386")</f>
        <v>https://www.fabsurplus.com/sdi_catalog/salesItemDetails.do?id=99386</v>
      </c>
      <c r="B1763" s="2" t="s">
        <v>4813</v>
      </c>
      <c r="C1763" s="2" t="s">
        <v>4814</v>
      </c>
      <c r="D1763" s="2" t="s">
        <v>4815</v>
      </c>
      <c r="E1763" s="2" t="s">
        <v>233</v>
      </c>
      <c r="F1763" s="2" t="s">
        <v>16</v>
      </c>
      <c r="G1763" s="2" t="s">
        <v>181</v>
      </c>
      <c r="H1763" s="2" t="s">
        <v>18</v>
      </c>
      <c r="I1763" s="2"/>
      <c r="J1763" s="2" t="s">
        <v>19</v>
      </c>
      <c r="K1763" s="2" t="s">
        <v>20</v>
      </c>
      <c r="L1763" s="4" t="s">
        <v>4816</v>
      </c>
    </row>
    <row r="1764" customFormat="false" ht="13.35" hidden="false" customHeight="true" outlineLevel="0" collapsed="false">
      <c r="A1764" s="5" t="str">
        <f aca="false">HYPERLINK("https://www.fabsurplus.com/sdi_catalog/salesItemDetails.do?id=99383")</f>
        <v>https://www.fabsurplus.com/sdi_catalog/salesItemDetails.do?id=99383</v>
      </c>
      <c r="B1764" s="5" t="s">
        <v>4817</v>
      </c>
      <c r="C1764" s="5" t="s">
        <v>4814</v>
      </c>
      <c r="D1764" s="5" t="s">
        <v>4818</v>
      </c>
      <c r="E1764" s="5" t="s">
        <v>233</v>
      </c>
      <c r="F1764" s="5" t="s">
        <v>16</v>
      </c>
      <c r="G1764" s="5" t="s">
        <v>181</v>
      </c>
      <c r="H1764" s="5" t="s">
        <v>18</v>
      </c>
      <c r="I1764" s="5"/>
      <c r="J1764" s="5" t="s">
        <v>19</v>
      </c>
      <c r="K1764" s="5" t="s">
        <v>20</v>
      </c>
      <c r="L1764" s="7" t="s">
        <v>4819</v>
      </c>
    </row>
    <row r="1765" customFormat="false" ht="13.35" hidden="false" customHeight="true" outlineLevel="0" collapsed="false">
      <c r="A1765" s="2" t="str">
        <f aca="false">HYPERLINK("https://www.fabsurplus.com/sdi_catalog/salesItemDetails.do?id=99384")</f>
        <v>https://www.fabsurplus.com/sdi_catalog/salesItemDetails.do?id=99384</v>
      </c>
      <c r="B1765" s="2" t="s">
        <v>4820</v>
      </c>
      <c r="C1765" s="2" t="s">
        <v>4814</v>
      </c>
      <c r="D1765" s="2" t="s">
        <v>4818</v>
      </c>
      <c r="E1765" s="2" t="s">
        <v>233</v>
      </c>
      <c r="F1765" s="2" t="s">
        <v>16</v>
      </c>
      <c r="G1765" s="2" t="s">
        <v>181</v>
      </c>
      <c r="H1765" s="2" t="s">
        <v>18</v>
      </c>
      <c r="I1765" s="2"/>
      <c r="J1765" s="2" t="s">
        <v>19</v>
      </c>
      <c r="K1765" s="2" t="s">
        <v>20</v>
      </c>
      <c r="L1765" s="4" t="s">
        <v>4821</v>
      </c>
    </row>
    <row r="1766" customFormat="false" ht="13.35" hidden="false" customHeight="true" outlineLevel="0" collapsed="false">
      <c r="A1766" s="5" t="str">
        <f aca="false">HYPERLINK("https://www.fabsurplus.com/sdi_catalog/salesItemDetails.do?id=99385")</f>
        <v>https://www.fabsurplus.com/sdi_catalog/salesItemDetails.do?id=99385</v>
      </c>
      <c r="B1766" s="5" t="s">
        <v>4822</v>
      </c>
      <c r="C1766" s="5" t="s">
        <v>4814</v>
      </c>
      <c r="D1766" s="5" t="s">
        <v>4818</v>
      </c>
      <c r="E1766" s="5" t="s">
        <v>233</v>
      </c>
      <c r="F1766" s="5" t="s">
        <v>16</v>
      </c>
      <c r="G1766" s="5" t="s">
        <v>181</v>
      </c>
      <c r="H1766" s="5" t="s">
        <v>18</v>
      </c>
      <c r="I1766" s="5"/>
      <c r="J1766" s="5" t="s">
        <v>19</v>
      </c>
      <c r="K1766" s="5" t="s">
        <v>20</v>
      </c>
      <c r="L1766" s="7" t="s">
        <v>4823</v>
      </c>
    </row>
    <row r="1767" customFormat="false" ht="13.35" hidden="false" customHeight="true" outlineLevel="0" collapsed="false">
      <c r="A1767" s="5" t="str">
        <f aca="false">HYPERLINK("https://www.fabsurplus.com/sdi_catalog/salesItemDetails.do?id=96011")</f>
        <v>https://www.fabsurplus.com/sdi_catalog/salesItemDetails.do?id=96011</v>
      </c>
      <c r="B1767" s="5" t="s">
        <v>4824</v>
      </c>
      <c r="C1767" s="5" t="s">
        <v>4814</v>
      </c>
      <c r="D1767" s="5" t="s">
        <v>4825</v>
      </c>
      <c r="E1767" s="5" t="s">
        <v>4826</v>
      </c>
      <c r="F1767" s="5" t="s">
        <v>16</v>
      </c>
      <c r="G1767" s="5" t="s">
        <v>181</v>
      </c>
      <c r="H1767" s="5"/>
      <c r="I1767" s="6" t="n">
        <v>37773</v>
      </c>
      <c r="J1767" s="5" t="s">
        <v>19</v>
      </c>
      <c r="K1767" s="5"/>
      <c r="L1767" s="7" t="s">
        <v>209</v>
      </c>
    </row>
    <row r="1768" customFormat="false" ht="13.35" hidden="false" customHeight="true" outlineLevel="0" collapsed="false">
      <c r="A1768" s="5" t="str">
        <f aca="false">HYPERLINK("https://www.fabsurplus.com/sdi_catalog/salesItemDetails.do?id=99382")</f>
        <v>https://www.fabsurplus.com/sdi_catalog/salesItemDetails.do?id=99382</v>
      </c>
      <c r="B1768" s="5" t="s">
        <v>4827</v>
      </c>
      <c r="C1768" s="5" t="s">
        <v>4828</v>
      </c>
      <c r="D1768" s="5" t="s">
        <v>4818</v>
      </c>
      <c r="E1768" s="5" t="s">
        <v>233</v>
      </c>
      <c r="F1768" s="5" t="s">
        <v>16</v>
      </c>
      <c r="G1768" s="5" t="s">
        <v>181</v>
      </c>
      <c r="H1768" s="5" t="s">
        <v>18</v>
      </c>
      <c r="I1768" s="5"/>
      <c r="J1768" s="5" t="s">
        <v>19</v>
      </c>
      <c r="K1768" s="5" t="s">
        <v>20</v>
      </c>
      <c r="L1768" s="7" t="s">
        <v>4829</v>
      </c>
    </row>
    <row r="1769" customFormat="false" ht="13.35" hidden="false" customHeight="true" outlineLevel="0" collapsed="false">
      <c r="A1769" s="2" t="str">
        <f aca="false">HYPERLINK("https://www.fabsurplus.com/sdi_catalog/salesItemDetails.do?id=99381")</f>
        <v>https://www.fabsurplus.com/sdi_catalog/salesItemDetails.do?id=99381</v>
      </c>
      <c r="B1769" s="2" t="s">
        <v>4830</v>
      </c>
      <c r="C1769" s="2" t="s">
        <v>4831</v>
      </c>
      <c r="D1769" s="2" t="s">
        <v>4832</v>
      </c>
      <c r="E1769" s="2" t="s">
        <v>233</v>
      </c>
      <c r="F1769" s="2" t="s">
        <v>16</v>
      </c>
      <c r="G1769" s="2" t="s">
        <v>181</v>
      </c>
      <c r="H1769" s="2" t="s">
        <v>18</v>
      </c>
      <c r="I1769" s="2"/>
      <c r="J1769" s="2" t="s">
        <v>19</v>
      </c>
      <c r="K1769" s="2" t="s">
        <v>20</v>
      </c>
      <c r="L1769" s="4" t="s">
        <v>4833</v>
      </c>
    </row>
    <row r="1770" customFormat="false" ht="13.35" hidden="false" customHeight="true" outlineLevel="0" collapsed="false">
      <c r="A1770" s="2" t="str">
        <f aca="false">HYPERLINK("https://www.fabsurplus.com/sdi_catalog/salesItemDetails.do?id=102887")</f>
        <v>https://www.fabsurplus.com/sdi_catalog/salesItemDetails.do?id=102887</v>
      </c>
      <c r="B1770" s="2" t="s">
        <v>4834</v>
      </c>
      <c r="C1770" s="2" t="s">
        <v>4835</v>
      </c>
      <c r="D1770" s="2" t="s">
        <v>4836</v>
      </c>
      <c r="E1770" s="2" t="s">
        <v>4837</v>
      </c>
      <c r="F1770" s="2" t="s">
        <v>16</v>
      </c>
      <c r="G1770" s="2"/>
      <c r="H1770" s="2"/>
      <c r="I1770" s="3" t="n">
        <v>38869</v>
      </c>
      <c r="J1770" s="2" t="s">
        <v>19</v>
      </c>
      <c r="K1770" s="2"/>
      <c r="L1770" s="2" t="s">
        <v>4838</v>
      </c>
    </row>
    <row r="1771" customFormat="false" ht="13.35" hidden="false" customHeight="true" outlineLevel="0" collapsed="false">
      <c r="A1771" s="5" t="str">
        <f aca="false">HYPERLINK("https://www.fabsurplus.com/sdi_catalog/salesItemDetails.do?id=93103")</f>
        <v>https://www.fabsurplus.com/sdi_catalog/salesItemDetails.do?id=93103</v>
      </c>
      <c r="B1771" s="5" t="s">
        <v>4839</v>
      </c>
      <c r="C1771" s="5" t="s">
        <v>4840</v>
      </c>
      <c r="D1771" s="5" t="s">
        <v>4841</v>
      </c>
      <c r="E1771" s="5" t="s">
        <v>4842</v>
      </c>
      <c r="F1771" s="5" t="s">
        <v>16</v>
      </c>
      <c r="G1771" s="5" t="s">
        <v>663</v>
      </c>
      <c r="H1771" s="5"/>
      <c r="I1771" s="5"/>
      <c r="J1771" s="5" t="s">
        <v>19</v>
      </c>
      <c r="K1771" s="5"/>
      <c r="L1771" s="5" t="s">
        <v>112</v>
      </c>
    </row>
    <row r="1772" customFormat="false" ht="13.35" hidden="false" customHeight="true" outlineLevel="0" collapsed="false">
      <c r="A1772" s="5" t="str">
        <f aca="false">HYPERLINK("https://www.fabsurplus.com/sdi_catalog/salesItemDetails.do?id=102888")</f>
        <v>https://www.fabsurplus.com/sdi_catalog/salesItemDetails.do?id=102888</v>
      </c>
      <c r="B1772" s="5" t="s">
        <v>4843</v>
      </c>
      <c r="C1772" s="5" t="s">
        <v>4844</v>
      </c>
      <c r="D1772" s="5" t="s">
        <v>4845</v>
      </c>
      <c r="E1772" s="5" t="s">
        <v>4846</v>
      </c>
      <c r="F1772" s="5" t="s">
        <v>16</v>
      </c>
      <c r="G1772" s="5" t="s">
        <v>36</v>
      </c>
      <c r="H1772" s="5"/>
      <c r="I1772" s="6" t="n">
        <v>35217</v>
      </c>
      <c r="J1772" s="5" t="s">
        <v>19</v>
      </c>
      <c r="K1772" s="5"/>
      <c r="L1772" s="5" t="s">
        <v>4846</v>
      </c>
    </row>
    <row r="1773" customFormat="false" ht="13.35" hidden="false" customHeight="true" outlineLevel="0" collapsed="false">
      <c r="A1773" s="5" t="str">
        <f aca="false">HYPERLINK("https://www.fabsurplus.com/sdi_catalog/salesItemDetails.do?id=102316")</f>
        <v>https://www.fabsurplus.com/sdi_catalog/salesItemDetails.do?id=102316</v>
      </c>
      <c r="B1773" s="5" t="s">
        <v>4847</v>
      </c>
      <c r="C1773" s="5" t="s">
        <v>4844</v>
      </c>
      <c r="D1773" s="5" t="s">
        <v>4848</v>
      </c>
      <c r="E1773" s="5" t="s">
        <v>4849</v>
      </c>
      <c r="F1773" s="5" t="s">
        <v>16</v>
      </c>
      <c r="G1773" s="5" t="s">
        <v>36</v>
      </c>
      <c r="H1773" s="5"/>
      <c r="I1773" s="5"/>
      <c r="J1773" s="5" t="s">
        <v>19</v>
      </c>
      <c r="K1773" s="5"/>
      <c r="L1773" s="5"/>
    </row>
    <row r="1774" customFormat="false" ht="13.35" hidden="false" customHeight="true" outlineLevel="0" collapsed="false">
      <c r="A1774" s="5" t="str">
        <f aca="false">HYPERLINK("https://www.fabsurplus.com/sdi_catalog/salesItemDetails.do?id=91534")</f>
        <v>https://www.fabsurplus.com/sdi_catalog/salesItemDetails.do?id=91534</v>
      </c>
      <c r="B1774" s="5" t="s">
        <v>4850</v>
      </c>
      <c r="C1774" s="5" t="s">
        <v>4851</v>
      </c>
      <c r="D1774" s="5" t="s">
        <v>4852</v>
      </c>
      <c r="E1774" s="5" t="s">
        <v>4853</v>
      </c>
      <c r="F1774" s="5" t="s">
        <v>16</v>
      </c>
      <c r="G1774" s="5"/>
      <c r="H1774" s="5"/>
      <c r="I1774" s="6" t="n">
        <v>35217</v>
      </c>
      <c r="J1774" s="5" t="s">
        <v>19</v>
      </c>
      <c r="K1774" s="5"/>
      <c r="L1774" s="5" t="s">
        <v>112</v>
      </c>
    </row>
    <row r="1775" customFormat="false" ht="13.35" hidden="false" customHeight="true" outlineLevel="0" collapsed="false">
      <c r="A1775" s="2" t="str">
        <f aca="false">HYPERLINK("https://www.fabsurplus.com/sdi_catalog/salesItemDetails.do?id=91860")</f>
        <v>https://www.fabsurplus.com/sdi_catalog/salesItemDetails.do?id=91860</v>
      </c>
      <c r="B1775" s="2" t="s">
        <v>4854</v>
      </c>
      <c r="C1775" s="2" t="s">
        <v>4851</v>
      </c>
      <c r="D1775" s="2" t="s">
        <v>4855</v>
      </c>
      <c r="E1775" s="2" t="s">
        <v>4856</v>
      </c>
      <c r="F1775" s="2" t="s">
        <v>16</v>
      </c>
      <c r="G1775" s="2" t="s">
        <v>1807</v>
      </c>
      <c r="H1775" s="2" t="s">
        <v>26</v>
      </c>
      <c r="I1775" s="3" t="n">
        <v>34121</v>
      </c>
      <c r="J1775" s="2" t="s">
        <v>19</v>
      </c>
      <c r="K1775" s="2" t="s">
        <v>20</v>
      </c>
      <c r="L1775" s="4" t="s">
        <v>4857</v>
      </c>
    </row>
    <row r="1776" customFormat="false" ht="13.35" hidden="false" customHeight="true" outlineLevel="0" collapsed="false">
      <c r="A1776" s="2" t="str">
        <f aca="false">HYPERLINK("https://www.fabsurplus.com/sdi_catalog/salesItemDetails.do?id=91535")</f>
        <v>https://www.fabsurplus.com/sdi_catalog/salesItemDetails.do?id=91535</v>
      </c>
      <c r="B1776" s="2" t="s">
        <v>4858</v>
      </c>
      <c r="C1776" s="2" t="s">
        <v>4851</v>
      </c>
      <c r="D1776" s="2" t="s">
        <v>4859</v>
      </c>
      <c r="E1776" s="2" t="s">
        <v>4853</v>
      </c>
      <c r="F1776" s="2" t="s">
        <v>16</v>
      </c>
      <c r="G1776" s="2"/>
      <c r="H1776" s="2"/>
      <c r="I1776" s="3" t="n">
        <v>35947</v>
      </c>
      <c r="J1776" s="2" t="s">
        <v>19</v>
      </c>
      <c r="K1776" s="2"/>
      <c r="L1776" s="2" t="s">
        <v>112</v>
      </c>
    </row>
    <row r="1777" customFormat="false" ht="13.35" hidden="false" customHeight="true" outlineLevel="0" collapsed="false">
      <c r="A1777" s="2" t="str">
        <f aca="false">HYPERLINK("https://www.fabsurplus.com/sdi_catalog/salesItemDetails.do?id=91536")</f>
        <v>https://www.fabsurplus.com/sdi_catalog/salesItemDetails.do?id=91536</v>
      </c>
      <c r="B1777" s="2" t="s">
        <v>4860</v>
      </c>
      <c r="C1777" s="2" t="s">
        <v>4861</v>
      </c>
      <c r="D1777" s="2" t="s">
        <v>4862</v>
      </c>
      <c r="E1777" s="2" t="s">
        <v>4863</v>
      </c>
      <c r="F1777" s="2" t="s">
        <v>16</v>
      </c>
      <c r="G1777" s="2"/>
      <c r="H1777" s="2"/>
      <c r="I1777" s="2"/>
      <c r="J1777" s="2" t="s">
        <v>19</v>
      </c>
      <c r="K1777" s="2"/>
      <c r="L1777" s="2" t="s">
        <v>112</v>
      </c>
    </row>
    <row r="1778" customFormat="false" ht="13.35" hidden="false" customHeight="true" outlineLevel="0" collapsed="false">
      <c r="A1778" s="5" t="str">
        <f aca="false">HYPERLINK("https://www.fabsurplus.com/sdi_catalog/salesItemDetails.do?id=101813")</f>
        <v>https://www.fabsurplus.com/sdi_catalog/salesItemDetails.do?id=101813</v>
      </c>
      <c r="B1778" s="5" t="s">
        <v>4864</v>
      </c>
      <c r="C1778" s="5" t="s">
        <v>4865</v>
      </c>
      <c r="D1778" s="5" t="s">
        <v>4866</v>
      </c>
      <c r="E1778" s="5" t="s">
        <v>1451</v>
      </c>
      <c r="F1778" s="5" t="s">
        <v>16</v>
      </c>
      <c r="G1778" s="5" t="s">
        <v>2640</v>
      </c>
      <c r="H1778" s="5" t="s">
        <v>96</v>
      </c>
      <c r="I1778" s="5"/>
      <c r="J1778" s="5" t="s">
        <v>47</v>
      </c>
      <c r="K1778" s="5" t="s">
        <v>809</v>
      </c>
      <c r="L1778" s="7" t="s">
        <v>4867</v>
      </c>
    </row>
    <row r="1779" customFormat="false" ht="13.35" hidden="false" customHeight="true" outlineLevel="0" collapsed="false">
      <c r="A1779" s="5" t="str">
        <f aca="false">HYPERLINK("https://www.fabsurplus.com/sdi_catalog/salesItemDetails.do?id=98484")</f>
        <v>https://www.fabsurplus.com/sdi_catalog/salesItemDetails.do?id=98484</v>
      </c>
      <c r="B1779" s="5" t="s">
        <v>4868</v>
      </c>
      <c r="C1779" s="5" t="s">
        <v>4865</v>
      </c>
      <c r="D1779" s="5" t="s">
        <v>4869</v>
      </c>
      <c r="E1779" s="5" t="s">
        <v>1934</v>
      </c>
      <c r="F1779" s="5" t="s">
        <v>16</v>
      </c>
      <c r="G1779" s="5" t="s">
        <v>4870</v>
      </c>
      <c r="H1779" s="5" t="s">
        <v>26</v>
      </c>
      <c r="I1779" s="5"/>
      <c r="J1779" s="5" t="s">
        <v>19</v>
      </c>
      <c r="K1779" s="5" t="s">
        <v>20</v>
      </c>
      <c r="L1779" s="5" t="s">
        <v>1417</v>
      </c>
    </row>
    <row r="1780" customFormat="false" ht="13.35" hidden="false" customHeight="true" outlineLevel="0" collapsed="false">
      <c r="A1780" s="5" t="str">
        <f aca="false">HYPERLINK("https://www.fabsurplus.com/sdi_catalog/salesItemDetails.do?id=100708")</f>
        <v>https://www.fabsurplus.com/sdi_catalog/salesItemDetails.do?id=100708</v>
      </c>
      <c r="B1780" s="5" t="s">
        <v>4871</v>
      </c>
      <c r="C1780" s="5" t="s">
        <v>4865</v>
      </c>
      <c r="D1780" s="5" t="s">
        <v>4872</v>
      </c>
      <c r="E1780" s="5" t="s">
        <v>4253</v>
      </c>
      <c r="F1780" s="5" t="s">
        <v>16</v>
      </c>
      <c r="G1780" s="5"/>
      <c r="H1780" s="5"/>
      <c r="I1780" s="5"/>
      <c r="J1780" s="5" t="s">
        <v>19</v>
      </c>
      <c r="K1780" s="5"/>
      <c r="L1780" s="5" t="s">
        <v>584</v>
      </c>
    </row>
    <row r="1781" customFormat="false" ht="13.35" hidden="false" customHeight="true" outlineLevel="0" collapsed="false">
      <c r="A1781" s="2" t="str">
        <f aca="false">HYPERLINK("https://www.fabsurplus.com/sdi_catalog/salesItemDetails.do?id=99396")</f>
        <v>https://www.fabsurplus.com/sdi_catalog/salesItemDetails.do?id=99396</v>
      </c>
      <c r="B1781" s="2" t="s">
        <v>4873</v>
      </c>
      <c r="C1781" s="2" t="s">
        <v>4865</v>
      </c>
      <c r="D1781" s="2" t="s">
        <v>4874</v>
      </c>
      <c r="E1781" s="2" t="s">
        <v>1928</v>
      </c>
      <c r="F1781" s="2" t="s">
        <v>16</v>
      </c>
      <c r="G1781" s="2" t="s">
        <v>555</v>
      </c>
      <c r="H1781" s="2" t="s">
        <v>26</v>
      </c>
      <c r="I1781" s="2"/>
      <c r="J1781" s="2" t="s">
        <v>19</v>
      </c>
      <c r="K1781" s="2" t="s">
        <v>20</v>
      </c>
      <c r="L1781" s="4" t="s">
        <v>4875</v>
      </c>
    </row>
    <row r="1782" customFormat="false" ht="13.35" hidden="false" customHeight="true" outlineLevel="0" collapsed="false">
      <c r="A1782" s="2" t="str">
        <f aca="false">HYPERLINK("https://www.fabsurplus.com/sdi_catalog/salesItemDetails.do?id=102649")</f>
        <v>https://www.fabsurplus.com/sdi_catalog/salesItemDetails.do?id=102649</v>
      </c>
      <c r="B1782" s="2" t="s">
        <v>4876</v>
      </c>
      <c r="C1782" s="2" t="s">
        <v>4865</v>
      </c>
      <c r="D1782" s="2" t="s">
        <v>4877</v>
      </c>
      <c r="E1782" s="2" t="s">
        <v>4878</v>
      </c>
      <c r="F1782" s="2" t="s">
        <v>16</v>
      </c>
      <c r="G1782" s="2" t="s">
        <v>4879</v>
      </c>
      <c r="H1782" s="2" t="s">
        <v>26</v>
      </c>
      <c r="I1782" s="3" t="n">
        <v>37043</v>
      </c>
      <c r="J1782" s="2" t="s">
        <v>19</v>
      </c>
      <c r="K1782" s="2" t="s">
        <v>20</v>
      </c>
      <c r="L1782" s="4" t="s">
        <v>4880</v>
      </c>
    </row>
    <row r="1783" customFormat="false" ht="13.35" hidden="false" customHeight="true" outlineLevel="0" collapsed="false">
      <c r="A1783" s="2" t="str">
        <f aca="false">HYPERLINK("https://www.fabsurplus.com/sdi_catalog/salesItemDetails.do?id=101667")</f>
        <v>https://www.fabsurplus.com/sdi_catalog/salesItemDetails.do?id=101667</v>
      </c>
      <c r="B1783" s="2" t="s">
        <v>4881</v>
      </c>
      <c r="C1783" s="2" t="s">
        <v>4865</v>
      </c>
      <c r="D1783" s="2" t="s">
        <v>543</v>
      </c>
      <c r="E1783" s="2" t="s">
        <v>4882</v>
      </c>
      <c r="F1783" s="2" t="s">
        <v>16</v>
      </c>
      <c r="G1783" s="2" t="s">
        <v>154</v>
      </c>
      <c r="H1783" s="2"/>
      <c r="I1783" s="2"/>
      <c r="J1783" s="2" t="s">
        <v>19</v>
      </c>
      <c r="K1783" s="2"/>
      <c r="L1783" s="2"/>
    </row>
    <row r="1784" customFormat="false" ht="13.35" hidden="false" customHeight="true" outlineLevel="0" collapsed="false">
      <c r="A1784" s="5" t="str">
        <f aca="false">HYPERLINK("https://www.fabsurplus.com/sdi_catalog/salesItemDetails.do?id=101668")</f>
        <v>https://www.fabsurplus.com/sdi_catalog/salesItemDetails.do?id=101668</v>
      </c>
      <c r="B1784" s="5" t="s">
        <v>4883</v>
      </c>
      <c r="C1784" s="5" t="s">
        <v>4865</v>
      </c>
      <c r="D1784" s="5" t="s">
        <v>4884</v>
      </c>
      <c r="E1784" s="5" t="s">
        <v>4885</v>
      </c>
      <c r="F1784" s="5" t="s">
        <v>16</v>
      </c>
      <c r="G1784" s="5" t="s">
        <v>154</v>
      </c>
      <c r="H1784" s="5"/>
      <c r="I1784" s="5"/>
      <c r="J1784" s="5" t="s">
        <v>19</v>
      </c>
      <c r="K1784" s="5"/>
      <c r="L1784" s="5"/>
    </row>
    <row r="1785" customFormat="false" ht="13.35" hidden="false" customHeight="true" outlineLevel="0" collapsed="false">
      <c r="A1785" s="2" t="str">
        <f aca="false">HYPERLINK("https://www.fabsurplus.com/sdi_catalog/salesItemDetails.do?id=101669")</f>
        <v>https://www.fabsurplus.com/sdi_catalog/salesItemDetails.do?id=101669</v>
      </c>
      <c r="B1785" s="2" t="s">
        <v>4886</v>
      </c>
      <c r="C1785" s="2" t="s">
        <v>4865</v>
      </c>
      <c r="D1785" s="2" t="s">
        <v>4887</v>
      </c>
      <c r="E1785" s="2" t="s">
        <v>4888</v>
      </c>
      <c r="F1785" s="2" t="s">
        <v>16</v>
      </c>
      <c r="G1785" s="2" t="s">
        <v>154</v>
      </c>
      <c r="H1785" s="2"/>
      <c r="I1785" s="2"/>
      <c r="J1785" s="2" t="s">
        <v>19</v>
      </c>
      <c r="K1785" s="2"/>
      <c r="L1785" s="2"/>
    </row>
    <row r="1786" customFormat="false" ht="13.35" hidden="false" customHeight="true" outlineLevel="0" collapsed="false">
      <c r="A1786" s="2" t="str">
        <f aca="false">HYPERLINK("https://www.fabsurplus.com/sdi_catalog/salesItemDetails.do?id=101757")</f>
        <v>https://www.fabsurplus.com/sdi_catalog/salesItemDetails.do?id=101757</v>
      </c>
      <c r="B1786" s="2" t="s">
        <v>4889</v>
      </c>
      <c r="C1786" s="2" t="s">
        <v>4865</v>
      </c>
      <c r="D1786" s="2" t="s">
        <v>4890</v>
      </c>
      <c r="E1786" s="2" t="s">
        <v>4891</v>
      </c>
      <c r="F1786" s="2" t="s">
        <v>16</v>
      </c>
      <c r="G1786" s="2"/>
      <c r="H1786" s="2"/>
      <c r="I1786" s="3" t="n">
        <v>42917</v>
      </c>
      <c r="J1786" s="2" t="s">
        <v>47</v>
      </c>
      <c r="K1786" s="2"/>
      <c r="L1786" s="2" t="s">
        <v>474</v>
      </c>
    </row>
    <row r="1787" customFormat="false" ht="13.35" hidden="false" customHeight="true" outlineLevel="0" collapsed="false">
      <c r="A1787" s="5" t="str">
        <f aca="false">HYPERLINK("https://www.fabsurplus.com/sdi_catalog/salesItemDetails.do?id=101758")</f>
        <v>https://www.fabsurplus.com/sdi_catalog/salesItemDetails.do?id=101758</v>
      </c>
      <c r="B1787" s="5" t="s">
        <v>4892</v>
      </c>
      <c r="C1787" s="5" t="s">
        <v>4865</v>
      </c>
      <c r="D1787" s="5" t="s">
        <v>4890</v>
      </c>
      <c r="E1787" s="5" t="s">
        <v>4891</v>
      </c>
      <c r="F1787" s="5" t="s">
        <v>16</v>
      </c>
      <c r="G1787" s="5"/>
      <c r="H1787" s="5"/>
      <c r="I1787" s="6" t="n">
        <v>42917</v>
      </c>
      <c r="J1787" s="5" t="s">
        <v>47</v>
      </c>
      <c r="K1787" s="5"/>
      <c r="L1787" s="5" t="s">
        <v>474</v>
      </c>
    </row>
    <row r="1788" customFormat="false" ht="13.35" hidden="false" customHeight="true" outlineLevel="0" collapsed="false">
      <c r="A1788" s="5" t="str">
        <f aca="false">HYPERLINK("https://www.fabsurplus.com/sdi_catalog/salesItemDetails.do?id=91372")</f>
        <v>https://www.fabsurplus.com/sdi_catalog/salesItemDetails.do?id=91372</v>
      </c>
      <c r="B1788" s="5" t="s">
        <v>4893</v>
      </c>
      <c r="C1788" s="5" t="s">
        <v>4894</v>
      </c>
      <c r="D1788" s="5" t="s">
        <v>4895</v>
      </c>
      <c r="E1788" s="5" t="s">
        <v>4896</v>
      </c>
      <c r="F1788" s="5" t="s">
        <v>16</v>
      </c>
      <c r="G1788" s="5" t="s">
        <v>1121</v>
      </c>
      <c r="H1788" s="5"/>
      <c r="I1788" s="5"/>
      <c r="J1788" s="5" t="s">
        <v>19</v>
      </c>
      <c r="K1788" s="5"/>
      <c r="L1788" s="5" t="s">
        <v>112</v>
      </c>
    </row>
    <row r="1789" customFormat="false" ht="13.35" hidden="false" customHeight="true" outlineLevel="0" collapsed="false">
      <c r="A1789" s="2" t="str">
        <f aca="false">HYPERLINK("https://www.fabsurplus.com/sdi_catalog/salesItemDetails.do?id=101847")</f>
        <v>https://www.fabsurplus.com/sdi_catalog/salesItemDetails.do?id=101847</v>
      </c>
      <c r="B1789" s="2" t="s">
        <v>4897</v>
      </c>
      <c r="C1789" s="2" t="s">
        <v>4865</v>
      </c>
      <c r="D1789" s="2" t="s">
        <v>4898</v>
      </c>
      <c r="E1789" s="2" t="s">
        <v>4899</v>
      </c>
      <c r="F1789" s="2" t="s">
        <v>16</v>
      </c>
      <c r="G1789" s="2" t="s">
        <v>36</v>
      </c>
      <c r="H1789" s="2" t="s">
        <v>18</v>
      </c>
      <c r="I1789" s="2"/>
      <c r="J1789" s="2" t="s">
        <v>19</v>
      </c>
      <c r="K1789" s="2" t="s">
        <v>20</v>
      </c>
      <c r="L1789" s="4" t="s">
        <v>4900</v>
      </c>
    </row>
    <row r="1790" customFormat="false" ht="13.35" hidden="false" customHeight="true" outlineLevel="0" collapsed="false">
      <c r="A1790" s="5" t="str">
        <f aca="false">HYPERLINK("https://www.fabsurplus.com/sdi_catalog/salesItemDetails.do?id=98414")</f>
        <v>https://www.fabsurplus.com/sdi_catalog/salesItemDetails.do?id=98414</v>
      </c>
      <c r="B1790" s="5" t="s">
        <v>4901</v>
      </c>
      <c r="C1790" s="5" t="s">
        <v>4865</v>
      </c>
      <c r="D1790" s="5" t="s">
        <v>4902</v>
      </c>
      <c r="E1790" s="5" t="s">
        <v>4903</v>
      </c>
      <c r="F1790" s="5" t="s">
        <v>16</v>
      </c>
      <c r="G1790" s="5" t="s">
        <v>493</v>
      </c>
      <c r="H1790" s="5"/>
      <c r="I1790" s="5"/>
      <c r="J1790" s="5" t="s">
        <v>19</v>
      </c>
      <c r="K1790" s="5"/>
      <c r="L1790" s="5" t="s">
        <v>893</v>
      </c>
    </row>
    <row r="1791" customFormat="false" ht="13.35" hidden="false" customHeight="true" outlineLevel="0" collapsed="false">
      <c r="A1791" s="2" t="str">
        <f aca="false">HYPERLINK("https://www.fabsurplus.com/sdi_catalog/salesItemDetails.do?id=98415")</f>
        <v>https://www.fabsurplus.com/sdi_catalog/salesItemDetails.do?id=98415</v>
      </c>
      <c r="B1791" s="2" t="s">
        <v>4904</v>
      </c>
      <c r="C1791" s="2" t="s">
        <v>4865</v>
      </c>
      <c r="D1791" s="2" t="s">
        <v>4902</v>
      </c>
      <c r="E1791" s="2" t="s">
        <v>4903</v>
      </c>
      <c r="F1791" s="2" t="s">
        <v>16</v>
      </c>
      <c r="G1791" s="2" t="s">
        <v>493</v>
      </c>
      <c r="H1791" s="2"/>
      <c r="I1791" s="2"/>
      <c r="J1791" s="2" t="s">
        <v>19</v>
      </c>
      <c r="K1791" s="2"/>
      <c r="L1791" s="2" t="s">
        <v>893</v>
      </c>
    </row>
    <row r="1792" customFormat="false" ht="13.35" hidden="false" customHeight="true" outlineLevel="0" collapsed="false">
      <c r="A1792" s="2" t="str">
        <f aca="false">HYPERLINK("https://www.fabsurplus.com/sdi_catalog/salesItemDetails.do?id=98416")</f>
        <v>https://www.fabsurplus.com/sdi_catalog/salesItemDetails.do?id=98416</v>
      </c>
      <c r="B1792" s="2" t="s">
        <v>4905</v>
      </c>
      <c r="C1792" s="2" t="s">
        <v>4865</v>
      </c>
      <c r="D1792" s="2" t="s">
        <v>4902</v>
      </c>
      <c r="E1792" s="2" t="s">
        <v>4903</v>
      </c>
      <c r="F1792" s="2" t="s">
        <v>16</v>
      </c>
      <c r="G1792" s="2" t="s">
        <v>493</v>
      </c>
      <c r="H1792" s="2"/>
      <c r="I1792" s="2"/>
      <c r="J1792" s="2" t="s">
        <v>19</v>
      </c>
      <c r="K1792" s="2"/>
      <c r="L1792" s="2" t="s">
        <v>893</v>
      </c>
    </row>
    <row r="1793" customFormat="false" ht="13.35" hidden="false" customHeight="true" outlineLevel="0" collapsed="false">
      <c r="A1793" s="5" t="str">
        <f aca="false">HYPERLINK("https://www.fabsurplus.com/sdi_catalog/salesItemDetails.do?id=98417")</f>
        <v>https://www.fabsurplus.com/sdi_catalog/salesItemDetails.do?id=98417</v>
      </c>
      <c r="B1793" s="5" t="s">
        <v>4906</v>
      </c>
      <c r="C1793" s="5" t="s">
        <v>4865</v>
      </c>
      <c r="D1793" s="5" t="s">
        <v>4902</v>
      </c>
      <c r="E1793" s="5" t="s">
        <v>4903</v>
      </c>
      <c r="F1793" s="5" t="s">
        <v>16</v>
      </c>
      <c r="G1793" s="5" t="s">
        <v>493</v>
      </c>
      <c r="H1793" s="5"/>
      <c r="I1793" s="5"/>
      <c r="J1793" s="5" t="s">
        <v>19</v>
      </c>
      <c r="K1793" s="5"/>
      <c r="L1793" s="5" t="s">
        <v>893</v>
      </c>
    </row>
    <row r="1794" customFormat="false" ht="13.35" hidden="false" customHeight="true" outlineLevel="0" collapsed="false">
      <c r="A1794" s="2" t="str">
        <f aca="false">HYPERLINK("https://www.fabsurplus.com/sdi_catalog/salesItemDetails.do?id=102489")</f>
        <v>https://www.fabsurplus.com/sdi_catalog/salesItemDetails.do?id=102489</v>
      </c>
      <c r="B1794" s="2" t="s">
        <v>4907</v>
      </c>
      <c r="C1794" s="2" t="s">
        <v>4894</v>
      </c>
      <c r="D1794" s="2" t="s">
        <v>4908</v>
      </c>
      <c r="E1794" s="2" t="s">
        <v>4909</v>
      </c>
      <c r="F1794" s="2" t="s">
        <v>16</v>
      </c>
      <c r="G1794" s="2"/>
      <c r="H1794" s="2" t="s">
        <v>26</v>
      </c>
      <c r="I1794" s="3" t="n">
        <v>32234</v>
      </c>
      <c r="J1794" s="2" t="s">
        <v>19</v>
      </c>
      <c r="K1794" s="2" t="s">
        <v>20</v>
      </c>
      <c r="L1794" s="4" t="s">
        <v>4910</v>
      </c>
    </row>
    <row r="1795" customFormat="false" ht="13.35" hidden="false" customHeight="true" outlineLevel="0" collapsed="false">
      <c r="A1795" s="2" t="str">
        <f aca="false">HYPERLINK("https://www.fabsurplus.com/sdi_catalog/salesItemDetails.do?id=91376")</f>
        <v>https://www.fabsurplus.com/sdi_catalog/salesItemDetails.do?id=91376</v>
      </c>
      <c r="B1795" s="2" t="s">
        <v>4911</v>
      </c>
      <c r="C1795" s="2" t="s">
        <v>4894</v>
      </c>
      <c r="D1795" s="2" t="s">
        <v>4912</v>
      </c>
      <c r="E1795" s="2" t="s">
        <v>4913</v>
      </c>
      <c r="F1795" s="2" t="s">
        <v>16</v>
      </c>
      <c r="G1795" s="2" t="s">
        <v>36</v>
      </c>
      <c r="H1795" s="2"/>
      <c r="I1795" s="2"/>
      <c r="J1795" s="2" t="s">
        <v>19</v>
      </c>
      <c r="K1795" s="2"/>
      <c r="L1795" s="2" t="s">
        <v>112</v>
      </c>
    </row>
    <row r="1796" customFormat="false" ht="13.35" hidden="false" customHeight="true" outlineLevel="0" collapsed="false">
      <c r="A1796" s="5" t="str">
        <f aca="false">HYPERLINK("https://www.fabsurplus.com/sdi_catalog/salesItemDetails.do?id=91377")</f>
        <v>https://www.fabsurplus.com/sdi_catalog/salesItemDetails.do?id=91377</v>
      </c>
      <c r="B1796" s="5" t="s">
        <v>4914</v>
      </c>
      <c r="C1796" s="5" t="s">
        <v>4894</v>
      </c>
      <c r="D1796" s="5" t="s">
        <v>4912</v>
      </c>
      <c r="E1796" s="5" t="s">
        <v>4913</v>
      </c>
      <c r="F1796" s="5" t="s">
        <v>16</v>
      </c>
      <c r="G1796" s="5" t="s">
        <v>36</v>
      </c>
      <c r="H1796" s="5"/>
      <c r="I1796" s="5"/>
      <c r="J1796" s="5" t="s">
        <v>19</v>
      </c>
      <c r="K1796" s="5"/>
      <c r="L1796" s="5" t="s">
        <v>112</v>
      </c>
    </row>
    <row r="1797" customFormat="false" ht="13.35" hidden="false" customHeight="true" outlineLevel="0" collapsed="false">
      <c r="A1797" s="2" t="str">
        <f aca="false">HYPERLINK("https://www.fabsurplus.com/sdi_catalog/salesItemDetails.do?id=102317")</f>
        <v>https://www.fabsurplus.com/sdi_catalog/salesItemDetails.do?id=102317</v>
      </c>
      <c r="B1797" s="2" t="s">
        <v>4915</v>
      </c>
      <c r="C1797" s="2" t="s">
        <v>4865</v>
      </c>
      <c r="D1797" s="2" t="s">
        <v>4916</v>
      </c>
      <c r="E1797" s="2" t="s">
        <v>1857</v>
      </c>
      <c r="F1797" s="2" t="s">
        <v>16</v>
      </c>
      <c r="G1797" s="2" t="s">
        <v>36</v>
      </c>
      <c r="H1797" s="2"/>
      <c r="I1797" s="3" t="n">
        <v>35582</v>
      </c>
      <c r="J1797" s="2" t="s">
        <v>19</v>
      </c>
      <c r="K1797" s="2"/>
      <c r="L1797" s="2"/>
    </row>
    <row r="1798" customFormat="false" ht="13.35" hidden="false" customHeight="true" outlineLevel="0" collapsed="false">
      <c r="A1798" s="5" t="str">
        <f aca="false">HYPERLINK("https://www.fabsurplus.com/sdi_catalog/salesItemDetails.do?id=102318")</f>
        <v>https://www.fabsurplus.com/sdi_catalog/salesItemDetails.do?id=102318</v>
      </c>
      <c r="B1798" s="5" t="s">
        <v>4917</v>
      </c>
      <c r="C1798" s="5" t="s">
        <v>4865</v>
      </c>
      <c r="D1798" s="5" t="s">
        <v>4918</v>
      </c>
      <c r="E1798" s="5" t="s">
        <v>1857</v>
      </c>
      <c r="F1798" s="5" t="s">
        <v>16</v>
      </c>
      <c r="G1798" s="5" t="s">
        <v>36</v>
      </c>
      <c r="H1798" s="5"/>
      <c r="I1798" s="6" t="n">
        <v>37043</v>
      </c>
      <c r="J1798" s="5" t="s">
        <v>19</v>
      </c>
      <c r="K1798" s="5"/>
      <c r="L1798" s="5" t="s">
        <v>1405</v>
      </c>
    </row>
    <row r="1799" customFormat="false" ht="13.35" hidden="false" customHeight="true" outlineLevel="0" collapsed="false">
      <c r="A1799" s="2" t="str">
        <f aca="false">HYPERLINK("https://www.fabsurplus.com/sdi_catalog/salesItemDetails.do?id=91383")</f>
        <v>https://www.fabsurplus.com/sdi_catalog/salesItemDetails.do?id=91383</v>
      </c>
      <c r="B1799" s="2" t="s">
        <v>4919</v>
      </c>
      <c r="C1799" s="2" t="s">
        <v>4894</v>
      </c>
      <c r="D1799" s="2" t="s">
        <v>4920</v>
      </c>
      <c r="E1799" s="2" t="s">
        <v>4921</v>
      </c>
      <c r="F1799" s="2" t="s">
        <v>16</v>
      </c>
      <c r="G1799" s="2" t="s">
        <v>36</v>
      </c>
      <c r="H1799" s="2"/>
      <c r="I1799" s="2"/>
      <c r="J1799" s="2" t="s">
        <v>19</v>
      </c>
      <c r="K1799" s="2"/>
      <c r="L1799" s="2" t="s">
        <v>112</v>
      </c>
    </row>
    <row r="1800" customFormat="false" ht="13.35" hidden="false" customHeight="true" outlineLevel="0" collapsed="false">
      <c r="A1800" s="5" t="str">
        <f aca="false">HYPERLINK("https://www.fabsurplus.com/sdi_catalog/salesItemDetails.do?id=102322")</f>
        <v>https://www.fabsurplus.com/sdi_catalog/salesItemDetails.do?id=102322</v>
      </c>
      <c r="B1800" s="5" t="s">
        <v>4922</v>
      </c>
      <c r="C1800" s="5" t="s">
        <v>4865</v>
      </c>
      <c r="D1800" s="5" t="s">
        <v>4923</v>
      </c>
      <c r="E1800" s="5" t="s">
        <v>4924</v>
      </c>
      <c r="F1800" s="5" t="s">
        <v>16</v>
      </c>
      <c r="G1800" s="5" t="s">
        <v>17</v>
      </c>
      <c r="H1800" s="5"/>
      <c r="I1800" s="6" t="n">
        <v>38504</v>
      </c>
      <c r="J1800" s="5" t="s">
        <v>19</v>
      </c>
      <c r="K1800" s="5"/>
      <c r="L1800" s="5"/>
    </row>
    <row r="1801" customFormat="false" ht="13.35" hidden="false" customHeight="true" outlineLevel="0" collapsed="false">
      <c r="A1801" s="2" t="str">
        <f aca="false">HYPERLINK("https://www.fabsurplus.com/sdi_catalog/salesItemDetails.do?id=86207")</f>
        <v>https://www.fabsurplus.com/sdi_catalog/salesItemDetails.do?id=86207</v>
      </c>
      <c r="B1801" s="2" t="s">
        <v>4925</v>
      </c>
      <c r="C1801" s="2" t="s">
        <v>4865</v>
      </c>
      <c r="D1801" s="2" t="s">
        <v>4926</v>
      </c>
      <c r="E1801" s="2" t="s">
        <v>4927</v>
      </c>
      <c r="F1801" s="2" t="s">
        <v>16</v>
      </c>
      <c r="G1801" s="2" t="s">
        <v>36</v>
      </c>
      <c r="H1801" s="2" t="s">
        <v>18</v>
      </c>
      <c r="I1801" s="3" t="n">
        <v>37408</v>
      </c>
      <c r="J1801" s="2" t="s">
        <v>19</v>
      </c>
      <c r="K1801" s="2" t="s">
        <v>20</v>
      </c>
      <c r="L1801" s="4" t="s">
        <v>4928</v>
      </c>
    </row>
    <row r="1802" customFormat="false" ht="13.35" hidden="false" customHeight="true" outlineLevel="0" collapsed="false">
      <c r="A1802" s="2" t="str">
        <f aca="false">HYPERLINK("https://www.fabsurplus.com/sdi_catalog/salesItemDetails.do?id=103038")</f>
        <v>https://www.fabsurplus.com/sdi_catalog/salesItemDetails.do?id=103038</v>
      </c>
      <c r="B1802" s="2" t="s">
        <v>4929</v>
      </c>
      <c r="C1802" s="2" t="s">
        <v>4865</v>
      </c>
      <c r="D1802" s="2" t="s">
        <v>4930</v>
      </c>
      <c r="E1802" s="2" t="s">
        <v>4931</v>
      </c>
      <c r="F1802" s="2" t="s">
        <v>16</v>
      </c>
      <c r="G1802" s="2"/>
      <c r="H1802" s="2"/>
      <c r="I1802" s="2"/>
      <c r="J1802" s="2" t="s">
        <v>19</v>
      </c>
      <c r="K1802" s="2"/>
      <c r="L1802" s="4" t="s">
        <v>4932</v>
      </c>
    </row>
    <row r="1803" customFormat="false" ht="13.35" hidden="false" customHeight="true" outlineLevel="0" collapsed="false">
      <c r="A1803" s="5" t="str">
        <f aca="false">HYPERLINK("https://www.fabsurplus.com/sdi_catalog/salesItemDetails.do?id=99423")</f>
        <v>https://www.fabsurplus.com/sdi_catalog/salesItemDetails.do?id=99423</v>
      </c>
      <c r="B1803" s="5" t="s">
        <v>4933</v>
      </c>
      <c r="C1803" s="5" t="s">
        <v>4865</v>
      </c>
      <c r="D1803" s="5" t="s">
        <v>4930</v>
      </c>
      <c r="E1803" s="5" t="s">
        <v>1934</v>
      </c>
      <c r="F1803" s="5" t="s">
        <v>16</v>
      </c>
      <c r="G1803" s="5" t="s">
        <v>493</v>
      </c>
      <c r="H1803" s="5" t="s">
        <v>18</v>
      </c>
      <c r="I1803" s="5"/>
      <c r="J1803" s="5" t="s">
        <v>19</v>
      </c>
      <c r="K1803" s="5" t="s">
        <v>20</v>
      </c>
      <c r="L1803" s="7" t="s">
        <v>4934</v>
      </c>
    </row>
    <row r="1804" customFormat="false" ht="13.35" hidden="false" customHeight="true" outlineLevel="0" collapsed="false">
      <c r="A1804" s="2" t="str">
        <f aca="false">HYPERLINK("https://www.fabsurplus.com/sdi_catalog/salesItemDetails.do?id=98485")</f>
        <v>https://www.fabsurplus.com/sdi_catalog/salesItemDetails.do?id=98485</v>
      </c>
      <c r="B1804" s="2" t="s">
        <v>4935</v>
      </c>
      <c r="C1804" s="2" t="s">
        <v>4865</v>
      </c>
      <c r="D1804" s="2" t="s">
        <v>4936</v>
      </c>
      <c r="E1804" s="2" t="s">
        <v>4937</v>
      </c>
      <c r="F1804" s="2" t="s">
        <v>58</v>
      </c>
      <c r="G1804" s="2" t="s">
        <v>4870</v>
      </c>
      <c r="H1804" s="2" t="s">
        <v>18</v>
      </c>
      <c r="I1804" s="2"/>
      <c r="J1804" s="2" t="s">
        <v>19</v>
      </c>
      <c r="K1804" s="2" t="s">
        <v>20</v>
      </c>
      <c r="L1804" s="2" t="s">
        <v>1417</v>
      </c>
    </row>
    <row r="1805" customFormat="false" ht="13.35" hidden="false" customHeight="true" outlineLevel="0" collapsed="false">
      <c r="A1805" s="5" t="str">
        <f aca="false">HYPERLINK("https://www.fabsurplus.com/sdi_catalog/salesItemDetails.do?id=99424")</f>
        <v>https://www.fabsurplus.com/sdi_catalog/salesItemDetails.do?id=99424</v>
      </c>
      <c r="B1805" s="5" t="s">
        <v>4938</v>
      </c>
      <c r="C1805" s="5" t="s">
        <v>4865</v>
      </c>
      <c r="D1805" s="5" t="s">
        <v>4936</v>
      </c>
      <c r="E1805" s="5" t="s">
        <v>4939</v>
      </c>
      <c r="F1805" s="5" t="s">
        <v>16</v>
      </c>
      <c r="G1805" s="5" t="s">
        <v>493</v>
      </c>
      <c r="H1805" s="5" t="s">
        <v>18</v>
      </c>
      <c r="I1805" s="5"/>
      <c r="J1805" s="5" t="s">
        <v>19</v>
      </c>
      <c r="K1805" s="5" t="s">
        <v>20</v>
      </c>
      <c r="L1805" s="7" t="s">
        <v>4940</v>
      </c>
    </row>
    <row r="1806" customFormat="false" ht="13.35" hidden="false" customHeight="true" outlineLevel="0" collapsed="false">
      <c r="A1806" s="5" t="str">
        <f aca="false">HYPERLINK("https://www.fabsurplus.com/sdi_catalog/salesItemDetails.do?id=91863")</f>
        <v>https://www.fabsurplus.com/sdi_catalog/salesItemDetails.do?id=91863</v>
      </c>
      <c r="B1806" s="5" t="s">
        <v>4941</v>
      </c>
      <c r="C1806" s="5" t="s">
        <v>4894</v>
      </c>
      <c r="D1806" s="5" t="s">
        <v>4936</v>
      </c>
      <c r="E1806" s="5" t="s">
        <v>4942</v>
      </c>
      <c r="F1806" s="5" t="s">
        <v>16</v>
      </c>
      <c r="G1806" s="5" t="s">
        <v>402</v>
      </c>
      <c r="H1806" s="5" t="s">
        <v>18</v>
      </c>
      <c r="I1806" s="5"/>
      <c r="J1806" s="5" t="s">
        <v>19</v>
      </c>
      <c r="K1806" s="5" t="s">
        <v>20</v>
      </c>
      <c r="L1806" s="7" t="s">
        <v>4943</v>
      </c>
    </row>
    <row r="1807" customFormat="false" ht="13.35" hidden="false" customHeight="true" outlineLevel="0" collapsed="false">
      <c r="A1807" s="5" t="str">
        <f aca="false">HYPERLINK("https://www.fabsurplus.com/sdi_catalog/salesItemDetails.do?id=91864")</f>
        <v>https://www.fabsurplus.com/sdi_catalog/salesItemDetails.do?id=91864</v>
      </c>
      <c r="B1807" s="5" t="s">
        <v>4944</v>
      </c>
      <c r="C1807" s="5" t="s">
        <v>4894</v>
      </c>
      <c r="D1807" s="5" t="s">
        <v>4945</v>
      </c>
      <c r="E1807" s="5" t="s">
        <v>4946</v>
      </c>
      <c r="F1807" s="5" t="s">
        <v>16</v>
      </c>
      <c r="G1807" s="5" t="s">
        <v>555</v>
      </c>
      <c r="H1807" s="5" t="s">
        <v>592</v>
      </c>
      <c r="I1807" s="5"/>
      <c r="J1807" s="5" t="s">
        <v>19</v>
      </c>
      <c r="K1807" s="5" t="s">
        <v>20</v>
      </c>
      <c r="L1807" s="7" t="s">
        <v>4947</v>
      </c>
    </row>
    <row r="1808" customFormat="false" ht="13.35" hidden="false" customHeight="true" outlineLevel="0" collapsed="false">
      <c r="A1808" s="2" t="str">
        <f aca="false">HYPERLINK("https://www.fabsurplus.com/sdi_catalog/salesItemDetails.do?id=102751")</f>
        <v>https://www.fabsurplus.com/sdi_catalog/salesItemDetails.do?id=102751</v>
      </c>
      <c r="B1808" s="2" t="s">
        <v>4948</v>
      </c>
      <c r="C1808" s="2" t="s">
        <v>4865</v>
      </c>
      <c r="D1808" s="2" t="s">
        <v>4949</v>
      </c>
      <c r="E1808" s="2" t="s">
        <v>1934</v>
      </c>
      <c r="F1808" s="2" t="s">
        <v>16</v>
      </c>
      <c r="G1808" s="2" t="s">
        <v>862</v>
      </c>
      <c r="H1808" s="2"/>
      <c r="I1808" s="2"/>
      <c r="J1808" s="2" t="s">
        <v>19</v>
      </c>
      <c r="K1808" s="2"/>
      <c r="L1808" s="4" t="s">
        <v>4950</v>
      </c>
    </row>
    <row r="1809" customFormat="false" ht="13.35" hidden="false" customHeight="true" outlineLevel="0" collapsed="false">
      <c r="A1809" s="2" t="str">
        <f aca="false">HYPERLINK("https://www.fabsurplus.com/sdi_catalog/salesItemDetails.do?id=103039")</f>
        <v>https://www.fabsurplus.com/sdi_catalog/salesItemDetails.do?id=103039</v>
      </c>
      <c r="B1809" s="2" t="s">
        <v>4951</v>
      </c>
      <c r="C1809" s="2" t="s">
        <v>4865</v>
      </c>
      <c r="D1809" s="2" t="s">
        <v>4952</v>
      </c>
      <c r="E1809" s="2" t="s">
        <v>4953</v>
      </c>
      <c r="F1809" s="2" t="s">
        <v>16</v>
      </c>
      <c r="G1809" s="2" t="s">
        <v>36</v>
      </c>
      <c r="H1809" s="2"/>
      <c r="I1809" s="2"/>
      <c r="J1809" s="2" t="s">
        <v>19</v>
      </c>
      <c r="K1809" s="2"/>
      <c r="L1809" s="4" t="s">
        <v>4954</v>
      </c>
    </row>
    <row r="1810" customFormat="false" ht="13.35" hidden="false" customHeight="true" outlineLevel="0" collapsed="false">
      <c r="A1810" s="5" t="str">
        <f aca="false">HYPERLINK("https://www.fabsurplus.com/sdi_catalog/salesItemDetails.do?id=33708")</f>
        <v>https://www.fabsurplus.com/sdi_catalog/salesItemDetails.do?id=33708</v>
      </c>
      <c r="B1810" s="5" t="s">
        <v>4955</v>
      </c>
      <c r="C1810" s="5" t="s">
        <v>4894</v>
      </c>
      <c r="D1810" s="5" t="s">
        <v>4952</v>
      </c>
      <c r="E1810" s="5" t="s">
        <v>4939</v>
      </c>
      <c r="F1810" s="5" t="s">
        <v>16</v>
      </c>
      <c r="G1810" s="5" t="s">
        <v>555</v>
      </c>
      <c r="H1810" s="5" t="s">
        <v>18</v>
      </c>
      <c r="I1810" s="5"/>
      <c r="J1810" s="5" t="s">
        <v>19</v>
      </c>
      <c r="K1810" s="5" t="s">
        <v>20</v>
      </c>
      <c r="L1810" s="7" t="s">
        <v>4956</v>
      </c>
    </row>
    <row r="1811" customFormat="false" ht="13.35" hidden="false" customHeight="true" outlineLevel="0" collapsed="false">
      <c r="A1811" s="2" t="str">
        <f aca="false">HYPERLINK("https://www.fabsurplus.com/sdi_catalog/salesItemDetails.do?id=99425")</f>
        <v>https://www.fabsurplus.com/sdi_catalog/salesItemDetails.do?id=99425</v>
      </c>
      <c r="B1811" s="2" t="s">
        <v>4957</v>
      </c>
      <c r="C1811" s="2" t="s">
        <v>4865</v>
      </c>
      <c r="D1811" s="2" t="s">
        <v>4958</v>
      </c>
      <c r="E1811" s="2" t="s">
        <v>4959</v>
      </c>
      <c r="F1811" s="2" t="s">
        <v>16</v>
      </c>
      <c r="G1811" s="2" t="s">
        <v>493</v>
      </c>
      <c r="H1811" s="2" t="s">
        <v>18</v>
      </c>
      <c r="I1811" s="2"/>
      <c r="J1811" s="2" t="s">
        <v>19</v>
      </c>
      <c r="K1811" s="2" t="s">
        <v>20</v>
      </c>
      <c r="L1811" s="4" t="s">
        <v>4960</v>
      </c>
    </row>
    <row r="1812" customFormat="false" ht="13.35" hidden="false" customHeight="true" outlineLevel="0" collapsed="false">
      <c r="A1812" s="2" t="str">
        <f aca="false">HYPERLINK("https://www.fabsurplus.com/sdi_catalog/salesItemDetails.do?id=99426")</f>
        <v>https://www.fabsurplus.com/sdi_catalog/salesItemDetails.do?id=99426</v>
      </c>
      <c r="B1812" s="2" t="s">
        <v>4961</v>
      </c>
      <c r="C1812" s="2" t="s">
        <v>4865</v>
      </c>
      <c r="D1812" s="2" t="s">
        <v>4958</v>
      </c>
      <c r="E1812" s="2" t="s">
        <v>4962</v>
      </c>
      <c r="F1812" s="2" t="s">
        <v>16</v>
      </c>
      <c r="G1812" s="2" t="s">
        <v>402</v>
      </c>
      <c r="H1812" s="2" t="s">
        <v>18</v>
      </c>
      <c r="I1812" s="2"/>
      <c r="J1812" s="2" t="s">
        <v>19</v>
      </c>
      <c r="K1812" s="2" t="s">
        <v>20</v>
      </c>
      <c r="L1812" s="4" t="s">
        <v>4963</v>
      </c>
    </row>
    <row r="1813" customFormat="false" ht="13.35" hidden="false" customHeight="true" outlineLevel="0" collapsed="false">
      <c r="A1813" s="5" t="str">
        <f aca="false">HYPERLINK("https://www.fabsurplus.com/sdi_catalog/salesItemDetails.do?id=99427")</f>
        <v>https://www.fabsurplus.com/sdi_catalog/salesItemDetails.do?id=99427</v>
      </c>
      <c r="B1813" s="5" t="s">
        <v>4964</v>
      </c>
      <c r="C1813" s="5" t="s">
        <v>4865</v>
      </c>
      <c r="D1813" s="5" t="s">
        <v>4958</v>
      </c>
      <c r="E1813" s="5" t="s">
        <v>1264</v>
      </c>
      <c r="F1813" s="5" t="s">
        <v>16</v>
      </c>
      <c r="G1813" s="5" t="s">
        <v>402</v>
      </c>
      <c r="H1813" s="5" t="s">
        <v>18</v>
      </c>
      <c r="I1813" s="6" t="n">
        <v>34486</v>
      </c>
      <c r="J1813" s="5" t="s">
        <v>19</v>
      </c>
      <c r="K1813" s="5" t="s">
        <v>20</v>
      </c>
      <c r="L1813" s="5" t="s">
        <v>4412</v>
      </c>
    </row>
    <row r="1814" customFormat="false" ht="13.35" hidden="false" customHeight="true" outlineLevel="0" collapsed="false">
      <c r="A1814" s="2" t="str">
        <f aca="false">HYPERLINK("https://www.fabsurplus.com/sdi_catalog/salesItemDetails.do?id=102323")</f>
        <v>https://www.fabsurplus.com/sdi_catalog/salesItemDetails.do?id=102323</v>
      </c>
      <c r="B1814" s="2" t="s">
        <v>4965</v>
      </c>
      <c r="C1814" s="2" t="s">
        <v>4865</v>
      </c>
      <c r="D1814" s="2" t="s">
        <v>4966</v>
      </c>
      <c r="E1814" s="2" t="s">
        <v>4967</v>
      </c>
      <c r="F1814" s="2" t="s">
        <v>16</v>
      </c>
      <c r="G1814" s="2"/>
      <c r="H1814" s="2"/>
      <c r="I1814" s="3" t="n">
        <v>40695</v>
      </c>
      <c r="J1814" s="2" t="s">
        <v>19</v>
      </c>
      <c r="K1814" s="2"/>
      <c r="L1814" s="2"/>
    </row>
    <row r="1815" customFormat="false" ht="13.35" hidden="false" customHeight="true" outlineLevel="0" collapsed="false">
      <c r="A1815" s="2" t="str">
        <f aca="false">HYPERLINK("https://www.fabsurplus.com/sdi_catalog/salesItemDetails.do?id=99428")</f>
        <v>https://www.fabsurplus.com/sdi_catalog/salesItemDetails.do?id=99428</v>
      </c>
      <c r="B1815" s="2" t="s">
        <v>4968</v>
      </c>
      <c r="C1815" s="2" t="s">
        <v>4865</v>
      </c>
      <c r="D1815" s="2" t="s">
        <v>4969</v>
      </c>
      <c r="E1815" s="2" t="s">
        <v>4970</v>
      </c>
      <c r="F1815" s="2" t="s">
        <v>16</v>
      </c>
      <c r="G1815" s="2" t="s">
        <v>36</v>
      </c>
      <c r="H1815" s="2" t="s">
        <v>18</v>
      </c>
      <c r="I1815" s="3" t="n">
        <v>35582</v>
      </c>
      <c r="J1815" s="2" t="s">
        <v>19</v>
      </c>
      <c r="K1815" s="2" t="s">
        <v>20</v>
      </c>
      <c r="L1815" s="4" t="s">
        <v>4971</v>
      </c>
    </row>
    <row r="1816" customFormat="false" ht="13.35" hidden="false" customHeight="true" outlineLevel="0" collapsed="false">
      <c r="A1816" s="5" t="str">
        <f aca="false">HYPERLINK("https://www.fabsurplus.com/sdi_catalog/salesItemDetails.do?id=102620")</f>
        <v>https://www.fabsurplus.com/sdi_catalog/salesItemDetails.do?id=102620</v>
      </c>
      <c r="B1816" s="5" t="s">
        <v>4972</v>
      </c>
      <c r="C1816" s="5" t="s">
        <v>4894</v>
      </c>
      <c r="D1816" s="5" t="s">
        <v>4973</v>
      </c>
      <c r="E1816" s="5" t="s">
        <v>4974</v>
      </c>
      <c r="F1816" s="5" t="s">
        <v>16</v>
      </c>
      <c r="G1816" s="5" t="s">
        <v>36</v>
      </c>
      <c r="H1816" s="5" t="s">
        <v>26</v>
      </c>
      <c r="I1816" s="6" t="n">
        <v>36647</v>
      </c>
      <c r="J1816" s="5"/>
      <c r="K1816" s="5" t="s">
        <v>20</v>
      </c>
      <c r="L1816" s="5" t="s">
        <v>4975</v>
      </c>
    </row>
    <row r="1817" customFormat="false" ht="13.35" hidden="false" customHeight="true" outlineLevel="0" collapsed="false">
      <c r="A1817" s="5" t="str">
        <f aca="false">HYPERLINK("https://www.fabsurplus.com/sdi_catalog/salesItemDetails.do?id=102592")</f>
        <v>https://www.fabsurplus.com/sdi_catalog/salesItemDetails.do?id=102592</v>
      </c>
      <c r="B1817" s="5" t="s">
        <v>4976</v>
      </c>
      <c r="C1817" s="5" t="s">
        <v>4894</v>
      </c>
      <c r="D1817" s="5" t="s">
        <v>4977</v>
      </c>
      <c r="E1817" s="5" t="s">
        <v>4978</v>
      </c>
      <c r="F1817" s="5" t="s">
        <v>16</v>
      </c>
      <c r="G1817" s="5" t="s">
        <v>17</v>
      </c>
      <c r="H1817" s="5" t="s">
        <v>26</v>
      </c>
      <c r="I1817" s="5"/>
      <c r="J1817" s="5" t="s">
        <v>47</v>
      </c>
      <c r="K1817" s="5" t="s">
        <v>20</v>
      </c>
      <c r="L1817" s="7" t="s">
        <v>4979</v>
      </c>
    </row>
    <row r="1818" customFormat="false" ht="13.35" hidden="false" customHeight="true" outlineLevel="0" collapsed="false">
      <c r="A1818" s="2" t="str">
        <f aca="false">HYPERLINK("https://www.fabsurplus.com/sdi_catalog/salesItemDetails.do?id=101630")</f>
        <v>https://www.fabsurplus.com/sdi_catalog/salesItemDetails.do?id=101630</v>
      </c>
      <c r="B1818" s="2" t="s">
        <v>4980</v>
      </c>
      <c r="C1818" s="2" t="s">
        <v>4894</v>
      </c>
      <c r="D1818" s="2" t="s">
        <v>4981</v>
      </c>
      <c r="E1818" s="2" t="s">
        <v>4982</v>
      </c>
      <c r="F1818" s="2" t="s">
        <v>16</v>
      </c>
      <c r="G1818" s="2" t="s">
        <v>17</v>
      </c>
      <c r="H1818" s="2" t="s">
        <v>26</v>
      </c>
      <c r="I1818" s="2"/>
      <c r="J1818" s="2" t="s">
        <v>19</v>
      </c>
      <c r="K1818" s="2"/>
      <c r="L1818" s="4" t="s">
        <v>4983</v>
      </c>
    </row>
    <row r="1819" customFormat="false" ht="13.35" hidden="false" customHeight="true" outlineLevel="0" collapsed="false">
      <c r="A1819" s="2" t="str">
        <f aca="false">HYPERLINK("https://www.fabsurplus.com/sdi_catalog/salesItemDetails.do?id=100936")</f>
        <v>https://www.fabsurplus.com/sdi_catalog/salesItemDetails.do?id=100936</v>
      </c>
      <c r="B1819" s="2" t="s">
        <v>4984</v>
      </c>
      <c r="C1819" s="2" t="s">
        <v>4894</v>
      </c>
      <c r="D1819" s="2" t="s">
        <v>4985</v>
      </c>
      <c r="E1819" s="2" t="s">
        <v>4986</v>
      </c>
      <c r="F1819" s="2" t="s">
        <v>58</v>
      </c>
      <c r="G1819" s="2" t="s">
        <v>160</v>
      </c>
      <c r="H1819" s="2" t="s">
        <v>18</v>
      </c>
      <c r="I1819" s="2"/>
      <c r="J1819" s="2" t="s">
        <v>19</v>
      </c>
      <c r="K1819" s="2" t="s">
        <v>20</v>
      </c>
      <c r="L1819" s="4" t="s">
        <v>4987</v>
      </c>
    </row>
    <row r="1820" customFormat="false" ht="13.35" hidden="false" customHeight="true" outlineLevel="0" collapsed="false">
      <c r="A1820" s="5" t="str">
        <f aca="false">HYPERLINK("https://www.fabsurplus.com/sdi_catalog/salesItemDetails.do?id=97869")</f>
        <v>https://www.fabsurplus.com/sdi_catalog/salesItemDetails.do?id=97869</v>
      </c>
      <c r="B1820" s="5" t="s">
        <v>4988</v>
      </c>
      <c r="C1820" s="5" t="s">
        <v>4894</v>
      </c>
      <c r="D1820" s="5" t="s">
        <v>4989</v>
      </c>
      <c r="E1820" s="5" t="s">
        <v>1934</v>
      </c>
      <c r="F1820" s="5" t="s">
        <v>460</v>
      </c>
      <c r="G1820" s="5"/>
      <c r="H1820" s="5"/>
      <c r="I1820" s="5"/>
      <c r="J1820" s="5" t="s">
        <v>19</v>
      </c>
      <c r="K1820" s="5"/>
      <c r="L1820" s="5"/>
    </row>
    <row r="1821" customFormat="false" ht="13.35" hidden="false" customHeight="true" outlineLevel="0" collapsed="false">
      <c r="A1821" s="2" t="str">
        <f aca="false">HYPERLINK("https://www.fabsurplus.com/sdi_catalog/salesItemDetails.do?id=96012")</f>
        <v>https://www.fabsurplus.com/sdi_catalog/salesItemDetails.do?id=96012</v>
      </c>
      <c r="B1821" s="2" t="s">
        <v>4990</v>
      </c>
      <c r="C1821" s="2" t="s">
        <v>4894</v>
      </c>
      <c r="D1821" s="2" t="s">
        <v>4991</v>
      </c>
      <c r="E1821" s="2" t="s">
        <v>4486</v>
      </c>
      <c r="F1821" s="2" t="s">
        <v>16</v>
      </c>
      <c r="G1821" s="2" t="s">
        <v>499</v>
      </c>
      <c r="H1821" s="2"/>
      <c r="I1821" s="2"/>
      <c r="J1821" s="2" t="s">
        <v>19</v>
      </c>
      <c r="K1821" s="2"/>
      <c r="L1821" s="4" t="s">
        <v>209</v>
      </c>
    </row>
    <row r="1822" customFormat="false" ht="13.35" hidden="false" customHeight="true" outlineLevel="0" collapsed="false">
      <c r="A1822" s="5" t="str">
        <f aca="false">HYPERLINK("https://www.fabsurplus.com/sdi_catalog/salesItemDetails.do?id=92707")</f>
        <v>https://www.fabsurplus.com/sdi_catalog/salesItemDetails.do?id=92707</v>
      </c>
      <c r="B1822" s="5" t="s">
        <v>4992</v>
      </c>
      <c r="C1822" s="5" t="s">
        <v>4894</v>
      </c>
      <c r="D1822" s="5" t="s">
        <v>4993</v>
      </c>
      <c r="E1822" s="5" t="s">
        <v>4994</v>
      </c>
      <c r="F1822" s="5" t="s">
        <v>16</v>
      </c>
      <c r="G1822" s="5" t="s">
        <v>663</v>
      </c>
      <c r="H1822" s="5"/>
      <c r="I1822" s="6" t="n">
        <v>37043</v>
      </c>
      <c r="J1822" s="5" t="s">
        <v>19</v>
      </c>
      <c r="K1822" s="5"/>
      <c r="L1822" s="5" t="s">
        <v>112</v>
      </c>
    </row>
    <row r="1823" customFormat="false" ht="13.35" hidden="false" customHeight="true" outlineLevel="0" collapsed="false">
      <c r="A1823" s="2" t="str">
        <f aca="false">HYPERLINK("https://www.fabsurplus.com/sdi_catalog/salesItemDetails.do?id=102889")</f>
        <v>https://www.fabsurplus.com/sdi_catalog/salesItemDetails.do?id=102889</v>
      </c>
      <c r="B1823" s="2" t="s">
        <v>4995</v>
      </c>
      <c r="C1823" s="2" t="s">
        <v>4996</v>
      </c>
      <c r="D1823" s="2" t="s">
        <v>4997</v>
      </c>
      <c r="E1823" s="2" t="s">
        <v>4998</v>
      </c>
      <c r="F1823" s="2" t="s">
        <v>16</v>
      </c>
      <c r="G1823" s="2" t="s">
        <v>36</v>
      </c>
      <c r="H1823" s="2"/>
      <c r="I1823" s="3" t="n">
        <v>34486</v>
      </c>
      <c r="J1823" s="2" t="s">
        <v>19</v>
      </c>
      <c r="K1823" s="2"/>
      <c r="L1823" s="2" t="s">
        <v>4999</v>
      </c>
    </row>
    <row r="1824" customFormat="false" ht="13.35" hidden="false" customHeight="true" outlineLevel="0" collapsed="false">
      <c r="A1824" s="5" t="str">
        <f aca="false">HYPERLINK("https://www.fabsurplus.com/sdi_catalog/salesItemDetails.do?id=102890")</f>
        <v>https://www.fabsurplus.com/sdi_catalog/salesItemDetails.do?id=102890</v>
      </c>
      <c r="B1824" s="5" t="s">
        <v>5000</v>
      </c>
      <c r="C1824" s="5" t="s">
        <v>4996</v>
      </c>
      <c r="D1824" s="5" t="s">
        <v>4997</v>
      </c>
      <c r="E1824" s="5" t="s">
        <v>4998</v>
      </c>
      <c r="F1824" s="5" t="s">
        <v>16</v>
      </c>
      <c r="G1824" s="5" t="s">
        <v>36</v>
      </c>
      <c r="H1824" s="5"/>
      <c r="I1824" s="6" t="n">
        <v>34851</v>
      </c>
      <c r="J1824" s="5" t="s">
        <v>19</v>
      </c>
      <c r="K1824" s="5"/>
      <c r="L1824" s="5" t="s">
        <v>4999</v>
      </c>
    </row>
    <row r="1825" customFormat="false" ht="13.35" hidden="false" customHeight="true" outlineLevel="0" collapsed="false">
      <c r="A1825" s="2" t="str">
        <f aca="false">HYPERLINK("https://www.fabsurplus.com/sdi_catalog/salesItemDetails.do?id=102891")</f>
        <v>https://www.fabsurplus.com/sdi_catalog/salesItemDetails.do?id=102891</v>
      </c>
      <c r="B1825" s="2" t="s">
        <v>5001</v>
      </c>
      <c r="C1825" s="2" t="s">
        <v>4996</v>
      </c>
      <c r="D1825" s="2" t="s">
        <v>5002</v>
      </c>
      <c r="E1825" s="2" t="s">
        <v>5003</v>
      </c>
      <c r="F1825" s="2" t="s">
        <v>16</v>
      </c>
      <c r="G1825" s="2" t="s">
        <v>36</v>
      </c>
      <c r="H1825" s="2"/>
      <c r="I1825" s="3" t="n">
        <v>34486</v>
      </c>
      <c r="J1825" s="2" t="s">
        <v>19</v>
      </c>
      <c r="K1825" s="2"/>
      <c r="L1825" s="2" t="s">
        <v>5004</v>
      </c>
    </row>
    <row r="1826" customFormat="false" ht="13.35" hidden="false" customHeight="true" outlineLevel="0" collapsed="false">
      <c r="A1826" s="5" t="str">
        <f aca="false">HYPERLINK("https://www.fabsurplus.com/sdi_catalog/salesItemDetails.do?id=102892")</f>
        <v>https://www.fabsurplus.com/sdi_catalog/salesItemDetails.do?id=102892</v>
      </c>
      <c r="B1826" s="5" t="s">
        <v>5005</v>
      </c>
      <c r="C1826" s="5" t="s">
        <v>4996</v>
      </c>
      <c r="D1826" s="5" t="s">
        <v>5002</v>
      </c>
      <c r="E1826" s="5" t="s">
        <v>5003</v>
      </c>
      <c r="F1826" s="5" t="s">
        <v>16</v>
      </c>
      <c r="G1826" s="5" t="s">
        <v>36</v>
      </c>
      <c r="H1826" s="5"/>
      <c r="I1826" s="6" t="n">
        <v>34486</v>
      </c>
      <c r="J1826" s="5" t="s">
        <v>19</v>
      </c>
      <c r="K1826" s="5"/>
      <c r="L1826" s="5" t="s">
        <v>5006</v>
      </c>
    </row>
    <row r="1827" customFormat="false" ht="13.35" hidden="false" customHeight="true" outlineLevel="0" collapsed="false">
      <c r="A1827" s="2" t="str">
        <f aca="false">HYPERLINK("https://www.fabsurplus.com/sdi_catalog/salesItemDetails.do?id=98486")</f>
        <v>https://www.fabsurplus.com/sdi_catalog/salesItemDetails.do?id=98486</v>
      </c>
      <c r="B1827" s="2" t="s">
        <v>5007</v>
      </c>
      <c r="C1827" s="2" t="s">
        <v>4996</v>
      </c>
      <c r="D1827" s="2" t="s">
        <v>5008</v>
      </c>
      <c r="E1827" s="2" t="s">
        <v>5009</v>
      </c>
      <c r="F1827" s="2" t="s">
        <v>16</v>
      </c>
      <c r="G1827" s="2" t="s">
        <v>2701</v>
      </c>
      <c r="H1827" s="2" t="s">
        <v>26</v>
      </c>
      <c r="I1827" s="2"/>
      <c r="J1827" s="2" t="s">
        <v>19</v>
      </c>
      <c r="K1827" s="2" t="s">
        <v>20</v>
      </c>
      <c r="L1827" s="4" t="s">
        <v>5010</v>
      </c>
    </row>
    <row r="1828" customFormat="false" ht="13.35" hidden="false" customHeight="true" outlineLevel="0" collapsed="false">
      <c r="A1828" s="2" t="str">
        <f aca="false">HYPERLINK("https://www.fabsurplus.com/sdi_catalog/salesItemDetails.do?id=101732")</f>
        <v>https://www.fabsurplus.com/sdi_catalog/salesItemDetails.do?id=101732</v>
      </c>
      <c r="B1828" s="2" t="s">
        <v>5011</v>
      </c>
      <c r="C1828" s="2" t="s">
        <v>5012</v>
      </c>
      <c r="D1828" s="2" t="s">
        <v>5013</v>
      </c>
      <c r="E1828" s="2" t="s">
        <v>5014</v>
      </c>
      <c r="F1828" s="2" t="s">
        <v>16</v>
      </c>
      <c r="G1828" s="2"/>
      <c r="H1828" s="2"/>
      <c r="I1828" s="2"/>
      <c r="J1828" s="2" t="s">
        <v>47</v>
      </c>
      <c r="K1828" s="2"/>
      <c r="L1828" s="2"/>
    </row>
    <row r="1829" customFormat="false" ht="13.35" hidden="false" customHeight="true" outlineLevel="0" collapsed="false">
      <c r="A1829" s="5" t="str">
        <f aca="false">HYPERLINK("https://www.fabsurplus.com/sdi_catalog/salesItemDetails.do?id=101670")</f>
        <v>https://www.fabsurplus.com/sdi_catalog/salesItemDetails.do?id=101670</v>
      </c>
      <c r="B1829" s="5" t="s">
        <v>5015</v>
      </c>
      <c r="C1829" s="5" t="s">
        <v>5016</v>
      </c>
      <c r="D1829" s="5" t="s">
        <v>5017</v>
      </c>
      <c r="E1829" s="5" t="s">
        <v>5018</v>
      </c>
      <c r="F1829" s="5" t="s">
        <v>16</v>
      </c>
      <c r="G1829" s="5" t="s">
        <v>154</v>
      </c>
      <c r="H1829" s="5"/>
      <c r="I1829" s="5"/>
      <c r="J1829" s="5" t="s">
        <v>19</v>
      </c>
      <c r="K1829" s="5"/>
      <c r="L1829" s="5"/>
    </row>
    <row r="1830" customFormat="false" ht="13.35" hidden="false" customHeight="true" outlineLevel="0" collapsed="false">
      <c r="A1830" s="2" t="str">
        <f aca="false">HYPERLINK("https://www.fabsurplus.com/sdi_catalog/salesItemDetails.do?id=102324")</f>
        <v>https://www.fabsurplus.com/sdi_catalog/salesItemDetails.do?id=102324</v>
      </c>
      <c r="B1830" s="2" t="s">
        <v>5019</v>
      </c>
      <c r="C1830" s="2" t="s">
        <v>5020</v>
      </c>
      <c r="D1830" s="2" t="s">
        <v>5021</v>
      </c>
      <c r="E1830" s="2" t="s">
        <v>5022</v>
      </c>
      <c r="F1830" s="2" t="s">
        <v>16</v>
      </c>
      <c r="G1830" s="2" t="s">
        <v>17</v>
      </c>
      <c r="H1830" s="2"/>
      <c r="I1830" s="3" t="n">
        <v>41426</v>
      </c>
      <c r="J1830" s="2" t="s">
        <v>19</v>
      </c>
      <c r="K1830" s="2"/>
      <c r="L1830" s="2"/>
    </row>
    <row r="1831" customFormat="false" ht="13.35" hidden="false" customHeight="true" outlineLevel="0" collapsed="false">
      <c r="A1831" s="2" t="str">
        <f aca="false">HYPERLINK("https://www.fabsurplus.com/sdi_catalog/salesItemDetails.do?id=102327")</f>
        <v>https://www.fabsurplus.com/sdi_catalog/salesItemDetails.do?id=102327</v>
      </c>
      <c r="B1831" s="2" t="s">
        <v>5023</v>
      </c>
      <c r="C1831" s="2" t="s">
        <v>5020</v>
      </c>
      <c r="D1831" s="2" t="s">
        <v>5024</v>
      </c>
      <c r="E1831" s="2" t="s">
        <v>5025</v>
      </c>
      <c r="F1831" s="2" t="s">
        <v>16</v>
      </c>
      <c r="G1831" s="2" t="s">
        <v>17</v>
      </c>
      <c r="H1831" s="2"/>
      <c r="I1831" s="3" t="n">
        <v>41791</v>
      </c>
      <c r="J1831" s="2" t="s">
        <v>19</v>
      </c>
      <c r="K1831" s="2"/>
      <c r="L1831" s="2"/>
    </row>
    <row r="1832" customFormat="false" ht="13.35" hidden="false" customHeight="true" outlineLevel="0" collapsed="false">
      <c r="A1832" s="5" t="str">
        <f aca="false">HYPERLINK("https://www.fabsurplus.com/sdi_catalog/salesItemDetails.do?id=102326")</f>
        <v>https://www.fabsurplus.com/sdi_catalog/salesItemDetails.do?id=102326</v>
      </c>
      <c r="B1832" s="5" t="s">
        <v>5026</v>
      </c>
      <c r="C1832" s="5" t="s">
        <v>5020</v>
      </c>
      <c r="D1832" s="5" t="s">
        <v>5024</v>
      </c>
      <c r="E1832" s="5" t="s">
        <v>5027</v>
      </c>
      <c r="F1832" s="5" t="s">
        <v>16</v>
      </c>
      <c r="G1832" s="5" t="s">
        <v>17</v>
      </c>
      <c r="H1832" s="5"/>
      <c r="I1832" s="6" t="n">
        <v>41061</v>
      </c>
      <c r="J1832" s="5" t="s">
        <v>19</v>
      </c>
      <c r="K1832" s="5"/>
      <c r="L1832" s="5"/>
    </row>
    <row r="1833" customFormat="false" ht="13.35" hidden="false" customHeight="true" outlineLevel="0" collapsed="false">
      <c r="A1833" s="2" t="str">
        <f aca="false">HYPERLINK("https://www.fabsurplus.com/sdi_catalog/salesItemDetails.do?id=102329")</f>
        <v>https://www.fabsurplus.com/sdi_catalog/salesItemDetails.do?id=102329</v>
      </c>
      <c r="B1833" s="2" t="s">
        <v>5028</v>
      </c>
      <c r="C1833" s="2" t="s">
        <v>5020</v>
      </c>
      <c r="D1833" s="2" t="s">
        <v>5029</v>
      </c>
      <c r="E1833" s="2" t="s">
        <v>5030</v>
      </c>
      <c r="F1833" s="2" t="s">
        <v>16</v>
      </c>
      <c r="G1833" s="2" t="s">
        <v>17</v>
      </c>
      <c r="H1833" s="2"/>
      <c r="I1833" s="3" t="n">
        <v>40695</v>
      </c>
      <c r="J1833" s="2" t="s">
        <v>19</v>
      </c>
      <c r="K1833" s="2"/>
      <c r="L1833" s="2"/>
    </row>
    <row r="1834" customFormat="false" ht="13.35" hidden="false" customHeight="true" outlineLevel="0" collapsed="false">
      <c r="A1834" s="5" t="str">
        <f aca="false">HYPERLINK("https://www.fabsurplus.com/sdi_catalog/salesItemDetails.do?id=102328")</f>
        <v>https://www.fabsurplus.com/sdi_catalog/salesItemDetails.do?id=102328</v>
      </c>
      <c r="B1834" s="5" t="s">
        <v>5031</v>
      </c>
      <c r="C1834" s="5" t="s">
        <v>5020</v>
      </c>
      <c r="D1834" s="5" t="s">
        <v>5029</v>
      </c>
      <c r="E1834" s="5" t="s">
        <v>5032</v>
      </c>
      <c r="F1834" s="5" t="s">
        <v>16</v>
      </c>
      <c r="G1834" s="5" t="s">
        <v>17</v>
      </c>
      <c r="H1834" s="5"/>
      <c r="I1834" s="6" t="n">
        <v>40695</v>
      </c>
      <c r="J1834" s="5" t="s">
        <v>19</v>
      </c>
      <c r="K1834" s="5"/>
      <c r="L1834" s="5"/>
    </row>
    <row r="1835" customFormat="false" ht="13.35" hidden="false" customHeight="true" outlineLevel="0" collapsed="false">
      <c r="A1835" s="2" t="str">
        <f aca="false">HYPERLINK("https://www.fabsurplus.com/sdi_catalog/salesItemDetails.do?id=91218")</f>
        <v>https://www.fabsurplus.com/sdi_catalog/salesItemDetails.do?id=91218</v>
      </c>
      <c r="B1835" s="2" t="s">
        <v>5033</v>
      </c>
      <c r="C1835" s="2" t="s">
        <v>5016</v>
      </c>
      <c r="D1835" s="2" t="s">
        <v>5034</v>
      </c>
      <c r="E1835" s="2"/>
      <c r="F1835" s="2" t="s">
        <v>16</v>
      </c>
      <c r="G1835" s="2" t="s">
        <v>17</v>
      </c>
      <c r="H1835" s="2"/>
      <c r="I1835" s="2"/>
      <c r="J1835" s="2" t="s">
        <v>19</v>
      </c>
      <c r="K1835" s="2"/>
      <c r="L1835" s="2" t="s">
        <v>112</v>
      </c>
    </row>
    <row r="1836" customFormat="false" ht="13.35" hidden="false" customHeight="true" outlineLevel="0" collapsed="false">
      <c r="A1836" s="2" t="str">
        <f aca="false">HYPERLINK("https://www.fabsurplus.com/sdi_catalog/salesItemDetails.do?id=91219")</f>
        <v>https://www.fabsurplus.com/sdi_catalog/salesItemDetails.do?id=91219</v>
      </c>
      <c r="B1836" s="2" t="s">
        <v>5035</v>
      </c>
      <c r="C1836" s="2" t="s">
        <v>5016</v>
      </c>
      <c r="D1836" s="2" t="s">
        <v>5034</v>
      </c>
      <c r="E1836" s="2"/>
      <c r="F1836" s="2" t="s">
        <v>16</v>
      </c>
      <c r="G1836" s="2" t="s">
        <v>17</v>
      </c>
      <c r="H1836" s="2"/>
      <c r="I1836" s="2"/>
      <c r="J1836" s="2" t="s">
        <v>19</v>
      </c>
      <c r="K1836" s="2"/>
      <c r="L1836" s="2" t="s">
        <v>112</v>
      </c>
    </row>
    <row r="1837" customFormat="false" ht="13.35" hidden="false" customHeight="true" outlineLevel="0" collapsed="false">
      <c r="A1837" s="5" t="str">
        <f aca="false">HYPERLINK("https://www.fabsurplus.com/sdi_catalog/salesItemDetails.do?id=91220")</f>
        <v>https://www.fabsurplus.com/sdi_catalog/salesItemDetails.do?id=91220</v>
      </c>
      <c r="B1837" s="5" t="s">
        <v>5036</v>
      </c>
      <c r="C1837" s="5" t="s">
        <v>5016</v>
      </c>
      <c r="D1837" s="5" t="s">
        <v>5037</v>
      </c>
      <c r="E1837" s="5" t="s">
        <v>5038</v>
      </c>
      <c r="F1837" s="5" t="s">
        <v>16</v>
      </c>
      <c r="G1837" s="5" t="s">
        <v>17</v>
      </c>
      <c r="H1837" s="5"/>
      <c r="I1837" s="6" t="n">
        <v>38139</v>
      </c>
      <c r="J1837" s="5" t="s">
        <v>19</v>
      </c>
      <c r="K1837" s="5"/>
      <c r="L1837" s="5" t="s">
        <v>112</v>
      </c>
    </row>
    <row r="1838" customFormat="false" ht="13.35" hidden="false" customHeight="true" outlineLevel="0" collapsed="false">
      <c r="A1838" s="2" t="str">
        <f aca="false">HYPERLINK("https://www.fabsurplus.com/sdi_catalog/salesItemDetails.do?id=91221")</f>
        <v>https://www.fabsurplus.com/sdi_catalog/salesItemDetails.do?id=91221</v>
      </c>
      <c r="B1838" s="2" t="s">
        <v>5039</v>
      </c>
      <c r="C1838" s="2" t="s">
        <v>5016</v>
      </c>
      <c r="D1838" s="2" t="s">
        <v>5037</v>
      </c>
      <c r="E1838" s="2" t="s">
        <v>5038</v>
      </c>
      <c r="F1838" s="2" t="s">
        <v>16</v>
      </c>
      <c r="G1838" s="2" t="s">
        <v>17</v>
      </c>
      <c r="H1838" s="2"/>
      <c r="I1838" s="3" t="n">
        <v>38869</v>
      </c>
      <c r="J1838" s="2" t="s">
        <v>19</v>
      </c>
      <c r="K1838" s="2"/>
      <c r="L1838" s="2" t="s">
        <v>112</v>
      </c>
    </row>
    <row r="1839" customFormat="false" ht="13.35" hidden="false" customHeight="true" outlineLevel="0" collapsed="false">
      <c r="A1839" s="2" t="str">
        <f aca="false">HYPERLINK("https://www.fabsurplus.com/sdi_catalog/salesItemDetails.do?id=91222")</f>
        <v>https://www.fabsurplus.com/sdi_catalog/salesItemDetails.do?id=91222</v>
      </c>
      <c r="B1839" s="2" t="s">
        <v>5040</v>
      </c>
      <c r="C1839" s="2" t="s">
        <v>5016</v>
      </c>
      <c r="D1839" s="2" t="s">
        <v>5037</v>
      </c>
      <c r="E1839" s="2" t="s">
        <v>5038</v>
      </c>
      <c r="F1839" s="2" t="s">
        <v>16</v>
      </c>
      <c r="G1839" s="2" t="s">
        <v>17</v>
      </c>
      <c r="H1839" s="2"/>
      <c r="I1839" s="3" t="n">
        <v>38504</v>
      </c>
      <c r="J1839" s="2" t="s">
        <v>19</v>
      </c>
      <c r="K1839" s="2"/>
      <c r="L1839" s="2" t="s">
        <v>112</v>
      </c>
    </row>
    <row r="1840" customFormat="false" ht="13.35" hidden="false" customHeight="true" outlineLevel="0" collapsed="false">
      <c r="A1840" s="5" t="str">
        <f aca="false">HYPERLINK("https://www.fabsurplus.com/sdi_catalog/salesItemDetails.do?id=91223")</f>
        <v>https://www.fabsurplus.com/sdi_catalog/salesItemDetails.do?id=91223</v>
      </c>
      <c r="B1840" s="5" t="s">
        <v>5041</v>
      </c>
      <c r="C1840" s="5" t="s">
        <v>5016</v>
      </c>
      <c r="D1840" s="5" t="s">
        <v>5037</v>
      </c>
      <c r="E1840" s="5" t="s">
        <v>5038</v>
      </c>
      <c r="F1840" s="5" t="s">
        <v>16</v>
      </c>
      <c r="G1840" s="5" t="s">
        <v>17</v>
      </c>
      <c r="H1840" s="5"/>
      <c r="I1840" s="6" t="n">
        <v>38504</v>
      </c>
      <c r="J1840" s="5" t="s">
        <v>19</v>
      </c>
      <c r="K1840" s="5"/>
      <c r="L1840" s="5" t="s">
        <v>112</v>
      </c>
    </row>
    <row r="1841" customFormat="false" ht="13.35" hidden="false" customHeight="true" outlineLevel="0" collapsed="false">
      <c r="A1841" s="5" t="str">
        <f aca="false">HYPERLINK("https://www.fabsurplus.com/sdi_catalog/salesItemDetails.do?id=91224")</f>
        <v>https://www.fabsurplus.com/sdi_catalog/salesItemDetails.do?id=91224</v>
      </c>
      <c r="B1841" s="5" t="s">
        <v>5042</v>
      </c>
      <c r="C1841" s="5" t="s">
        <v>5016</v>
      </c>
      <c r="D1841" s="5" t="s">
        <v>5037</v>
      </c>
      <c r="E1841" s="5" t="s">
        <v>5038</v>
      </c>
      <c r="F1841" s="5" t="s">
        <v>16</v>
      </c>
      <c r="G1841" s="5" t="s">
        <v>17</v>
      </c>
      <c r="H1841" s="5"/>
      <c r="I1841" s="6" t="n">
        <v>39234</v>
      </c>
      <c r="J1841" s="5" t="s">
        <v>19</v>
      </c>
      <c r="K1841" s="5"/>
      <c r="L1841" s="5" t="s">
        <v>112</v>
      </c>
    </row>
    <row r="1842" customFormat="false" ht="13.35" hidden="false" customHeight="true" outlineLevel="0" collapsed="false">
      <c r="A1842" s="2" t="str">
        <f aca="false">HYPERLINK("https://www.fabsurplus.com/sdi_catalog/salesItemDetails.do?id=91225")</f>
        <v>https://www.fabsurplus.com/sdi_catalog/salesItemDetails.do?id=91225</v>
      </c>
      <c r="B1842" s="2" t="s">
        <v>5043</v>
      </c>
      <c r="C1842" s="2" t="s">
        <v>5016</v>
      </c>
      <c r="D1842" s="2" t="s">
        <v>5037</v>
      </c>
      <c r="E1842" s="2" t="s">
        <v>5038</v>
      </c>
      <c r="F1842" s="2" t="s">
        <v>16</v>
      </c>
      <c r="G1842" s="2" t="s">
        <v>17</v>
      </c>
      <c r="H1842" s="2"/>
      <c r="I1842" s="3" t="n">
        <v>38139</v>
      </c>
      <c r="J1842" s="2" t="s">
        <v>19</v>
      </c>
      <c r="K1842" s="2"/>
      <c r="L1842" s="2" t="s">
        <v>112</v>
      </c>
    </row>
    <row r="1843" customFormat="false" ht="13.35" hidden="false" customHeight="true" outlineLevel="0" collapsed="false">
      <c r="A1843" s="5" t="str">
        <f aca="false">HYPERLINK("https://www.fabsurplus.com/sdi_catalog/salesItemDetails.do?id=91226")</f>
        <v>https://www.fabsurplus.com/sdi_catalog/salesItemDetails.do?id=91226</v>
      </c>
      <c r="B1843" s="5" t="s">
        <v>5044</v>
      </c>
      <c r="C1843" s="5" t="s">
        <v>5016</v>
      </c>
      <c r="D1843" s="5" t="s">
        <v>5037</v>
      </c>
      <c r="E1843" s="5" t="s">
        <v>5038</v>
      </c>
      <c r="F1843" s="5" t="s">
        <v>16</v>
      </c>
      <c r="G1843" s="5" t="s">
        <v>17</v>
      </c>
      <c r="H1843" s="5"/>
      <c r="I1843" s="6" t="n">
        <v>38139</v>
      </c>
      <c r="J1843" s="5" t="s">
        <v>19</v>
      </c>
      <c r="K1843" s="5"/>
      <c r="L1843" s="5" t="s">
        <v>112</v>
      </c>
    </row>
    <row r="1844" customFormat="false" ht="13.35" hidden="false" customHeight="true" outlineLevel="0" collapsed="false">
      <c r="A1844" s="5" t="str">
        <f aca="false">HYPERLINK("https://www.fabsurplus.com/sdi_catalog/salesItemDetails.do?id=103112")</f>
        <v>https://www.fabsurplus.com/sdi_catalog/salesItemDetails.do?id=103112</v>
      </c>
      <c r="B1844" s="5" t="s">
        <v>5045</v>
      </c>
      <c r="C1844" s="5" t="s">
        <v>5020</v>
      </c>
      <c r="D1844" s="5" t="s">
        <v>5046</v>
      </c>
      <c r="E1844" s="5" t="s">
        <v>5047</v>
      </c>
      <c r="F1844" s="5" t="s">
        <v>16</v>
      </c>
      <c r="G1844" s="5" t="s">
        <v>658</v>
      </c>
      <c r="H1844" s="5"/>
      <c r="I1844" s="5"/>
      <c r="J1844" s="5" t="s">
        <v>19</v>
      </c>
      <c r="K1844" s="5"/>
      <c r="L1844" s="5" t="s">
        <v>5048</v>
      </c>
    </row>
    <row r="1845" customFormat="false" ht="13.35" hidden="false" customHeight="true" outlineLevel="0" collapsed="false">
      <c r="A1845" s="2" t="str">
        <f aca="false">HYPERLINK("https://www.fabsurplus.com/sdi_catalog/salesItemDetails.do?id=103113")</f>
        <v>https://www.fabsurplus.com/sdi_catalog/salesItemDetails.do?id=103113</v>
      </c>
      <c r="B1845" s="2" t="s">
        <v>5049</v>
      </c>
      <c r="C1845" s="2" t="s">
        <v>5020</v>
      </c>
      <c r="D1845" s="2" t="s">
        <v>5046</v>
      </c>
      <c r="E1845" s="2" t="s">
        <v>5047</v>
      </c>
      <c r="F1845" s="2" t="s">
        <v>16</v>
      </c>
      <c r="G1845" s="2" t="s">
        <v>658</v>
      </c>
      <c r="H1845" s="2"/>
      <c r="I1845" s="2"/>
      <c r="J1845" s="2" t="s">
        <v>19</v>
      </c>
      <c r="K1845" s="2"/>
      <c r="L1845" s="2" t="s">
        <v>5048</v>
      </c>
    </row>
    <row r="1846" customFormat="false" ht="13.35" hidden="false" customHeight="true" outlineLevel="0" collapsed="false">
      <c r="A1846" s="5" t="str">
        <f aca="false">HYPERLINK("https://www.fabsurplus.com/sdi_catalog/salesItemDetails.do?id=103114")</f>
        <v>https://www.fabsurplus.com/sdi_catalog/salesItemDetails.do?id=103114</v>
      </c>
      <c r="B1846" s="5" t="s">
        <v>5050</v>
      </c>
      <c r="C1846" s="5" t="s">
        <v>5020</v>
      </c>
      <c r="D1846" s="5" t="s">
        <v>5051</v>
      </c>
      <c r="E1846" s="5" t="s">
        <v>5047</v>
      </c>
      <c r="F1846" s="5" t="s">
        <v>16</v>
      </c>
      <c r="G1846" s="5" t="s">
        <v>658</v>
      </c>
      <c r="H1846" s="5"/>
      <c r="I1846" s="5"/>
      <c r="J1846" s="5" t="s">
        <v>19</v>
      </c>
      <c r="K1846" s="5"/>
      <c r="L1846" s="5"/>
    </row>
    <row r="1847" customFormat="false" ht="13.35" hidden="false" customHeight="true" outlineLevel="0" collapsed="false">
      <c r="A1847" s="2" t="str">
        <f aca="false">HYPERLINK("https://www.fabsurplus.com/sdi_catalog/salesItemDetails.do?id=102756")</f>
        <v>https://www.fabsurplus.com/sdi_catalog/salesItemDetails.do?id=102756</v>
      </c>
      <c r="B1847" s="2" t="s">
        <v>5052</v>
      </c>
      <c r="C1847" s="2" t="s">
        <v>5020</v>
      </c>
      <c r="D1847" s="2" t="s">
        <v>5053</v>
      </c>
      <c r="E1847" s="2" t="s">
        <v>5054</v>
      </c>
      <c r="F1847" s="2" t="s">
        <v>16</v>
      </c>
      <c r="G1847" s="2" t="s">
        <v>17</v>
      </c>
      <c r="H1847" s="2"/>
      <c r="I1847" s="2"/>
      <c r="J1847" s="2" t="s">
        <v>19</v>
      </c>
      <c r="K1847" s="2"/>
      <c r="L1847" s="2" t="s">
        <v>1891</v>
      </c>
    </row>
    <row r="1848" customFormat="false" ht="13.35" hidden="false" customHeight="true" outlineLevel="0" collapsed="false">
      <c r="A1848" s="2" t="str">
        <f aca="false">HYPERLINK("https://www.fabsurplus.com/sdi_catalog/salesItemDetails.do?id=90146")</f>
        <v>https://www.fabsurplus.com/sdi_catalog/salesItemDetails.do?id=90146</v>
      </c>
      <c r="B1848" s="2" t="s">
        <v>5055</v>
      </c>
      <c r="C1848" s="2" t="s">
        <v>5016</v>
      </c>
      <c r="D1848" s="2" t="s">
        <v>5056</v>
      </c>
      <c r="E1848" s="2" t="s">
        <v>5057</v>
      </c>
      <c r="F1848" s="2" t="s">
        <v>16</v>
      </c>
      <c r="G1848" s="2"/>
      <c r="H1848" s="2" t="s">
        <v>26</v>
      </c>
      <c r="I1848" s="3" t="n">
        <v>37591</v>
      </c>
      <c r="J1848" s="2" t="s">
        <v>19</v>
      </c>
      <c r="K1848" s="2" t="s">
        <v>20</v>
      </c>
      <c r="L1848" s="4" t="s">
        <v>5058</v>
      </c>
    </row>
    <row r="1849" customFormat="false" ht="13.35" hidden="false" customHeight="true" outlineLevel="0" collapsed="false">
      <c r="A1849" s="5" t="str">
        <f aca="false">HYPERLINK("https://www.fabsurplus.com/sdi_catalog/salesItemDetails.do?id=98294")</f>
        <v>https://www.fabsurplus.com/sdi_catalog/salesItemDetails.do?id=98294</v>
      </c>
      <c r="B1849" s="5" t="s">
        <v>5059</v>
      </c>
      <c r="C1849" s="5" t="s">
        <v>5016</v>
      </c>
      <c r="D1849" s="5" t="s">
        <v>5060</v>
      </c>
      <c r="E1849" s="5" t="s">
        <v>5061</v>
      </c>
      <c r="F1849" s="5" t="s">
        <v>16</v>
      </c>
      <c r="G1849" s="5" t="s">
        <v>17</v>
      </c>
      <c r="H1849" s="5"/>
      <c r="I1849" s="6" t="n">
        <v>38139</v>
      </c>
      <c r="J1849" s="5" t="s">
        <v>19</v>
      </c>
      <c r="K1849" s="5"/>
      <c r="L1849" s="5"/>
    </row>
    <row r="1850" customFormat="false" ht="13.35" hidden="false" customHeight="true" outlineLevel="0" collapsed="false">
      <c r="A1850" s="5" t="str">
        <f aca="false">HYPERLINK("https://www.fabsurplus.com/sdi_catalog/salesItemDetails.do?id=102757")</f>
        <v>https://www.fabsurplus.com/sdi_catalog/salesItemDetails.do?id=102757</v>
      </c>
      <c r="B1850" s="5" t="s">
        <v>5062</v>
      </c>
      <c r="C1850" s="5" t="s">
        <v>5020</v>
      </c>
      <c r="D1850" s="5" t="s">
        <v>5063</v>
      </c>
      <c r="E1850" s="5" t="s">
        <v>1911</v>
      </c>
      <c r="F1850" s="5" t="s">
        <v>16</v>
      </c>
      <c r="G1850" s="5" t="s">
        <v>17</v>
      </c>
      <c r="H1850" s="5"/>
      <c r="I1850" s="5"/>
      <c r="J1850" s="5" t="s">
        <v>19</v>
      </c>
      <c r="K1850" s="5"/>
      <c r="L1850" s="7" t="s">
        <v>5064</v>
      </c>
    </row>
    <row r="1851" customFormat="false" ht="13.35" hidden="false" customHeight="true" outlineLevel="0" collapsed="false">
      <c r="A1851" s="2" t="str">
        <f aca="false">HYPERLINK("https://www.fabsurplus.com/sdi_catalog/salesItemDetails.do?id=102758")</f>
        <v>https://www.fabsurplus.com/sdi_catalog/salesItemDetails.do?id=102758</v>
      </c>
      <c r="B1851" s="2" t="s">
        <v>5065</v>
      </c>
      <c r="C1851" s="2" t="s">
        <v>5020</v>
      </c>
      <c r="D1851" s="2" t="s">
        <v>5063</v>
      </c>
      <c r="E1851" s="2" t="s">
        <v>1911</v>
      </c>
      <c r="F1851" s="2" t="s">
        <v>16</v>
      </c>
      <c r="G1851" s="2" t="s">
        <v>17</v>
      </c>
      <c r="H1851" s="2"/>
      <c r="I1851" s="2"/>
      <c r="J1851" s="2" t="s">
        <v>19</v>
      </c>
      <c r="K1851" s="2"/>
      <c r="L1851" s="4" t="s">
        <v>5066</v>
      </c>
    </row>
    <row r="1852" customFormat="false" ht="13.35" hidden="false" customHeight="true" outlineLevel="0" collapsed="false">
      <c r="A1852" s="5" t="str">
        <f aca="false">HYPERLINK("https://www.fabsurplus.com/sdi_catalog/salesItemDetails.do?id=102330")</f>
        <v>https://www.fabsurplus.com/sdi_catalog/salesItemDetails.do?id=102330</v>
      </c>
      <c r="B1852" s="5" t="s">
        <v>5067</v>
      </c>
      <c r="C1852" s="5" t="s">
        <v>5020</v>
      </c>
      <c r="D1852" s="5" t="s">
        <v>5068</v>
      </c>
      <c r="E1852" s="5" t="s">
        <v>5069</v>
      </c>
      <c r="F1852" s="5" t="s">
        <v>16</v>
      </c>
      <c r="G1852" s="5" t="s">
        <v>36</v>
      </c>
      <c r="H1852" s="5"/>
      <c r="I1852" s="6" t="n">
        <v>37773</v>
      </c>
      <c r="J1852" s="5" t="s">
        <v>19</v>
      </c>
      <c r="K1852" s="5"/>
      <c r="L1852" s="5"/>
    </row>
    <row r="1853" customFormat="false" ht="13.35" hidden="false" customHeight="true" outlineLevel="0" collapsed="false">
      <c r="A1853" s="5" t="str">
        <f aca="false">HYPERLINK("https://www.fabsurplus.com/sdi_catalog/salesItemDetails.do?id=102332")</f>
        <v>https://www.fabsurplus.com/sdi_catalog/salesItemDetails.do?id=102332</v>
      </c>
      <c r="B1853" s="5" t="s">
        <v>5070</v>
      </c>
      <c r="C1853" s="5" t="s">
        <v>5020</v>
      </c>
      <c r="D1853" s="5" t="s">
        <v>5071</v>
      </c>
      <c r="E1853" s="5" t="s">
        <v>5072</v>
      </c>
      <c r="F1853" s="5" t="s">
        <v>16</v>
      </c>
      <c r="G1853" s="5" t="s">
        <v>17</v>
      </c>
      <c r="H1853" s="5"/>
      <c r="I1853" s="6" t="n">
        <v>39234</v>
      </c>
      <c r="J1853" s="5" t="s">
        <v>19</v>
      </c>
      <c r="K1853" s="5"/>
      <c r="L1853" s="5"/>
    </row>
    <row r="1854" customFormat="false" ht="13.35" hidden="false" customHeight="true" outlineLevel="0" collapsed="false">
      <c r="A1854" s="2" t="str">
        <f aca="false">HYPERLINK("https://www.fabsurplus.com/sdi_catalog/salesItemDetails.do?id=102331")</f>
        <v>https://www.fabsurplus.com/sdi_catalog/salesItemDetails.do?id=102331</v>
      </c>
      <c r="B1854" s="2" t="s">
        <v>5073</v>
      </c>
      <c r="C1854" s="2" t="s">
        <v>5020</v>
      </c>
      <c r="D1854" s="2" t="s">
        <v>5071</v>
      </c>
      <c r="E1854" s="2" t="s">
        <v>5074</v>
      </c>
      <c r="F1854" s="2" t="s">
        <v>16</v>
      </c>
      <c r="G1854" s="2" t="s">
        <v>17</v>
      </c>
      <c r="H1854" s="2"/>
      <c r="I1854" s="3" t="n">
        <v>42156</v>
      </c>
      <c r="J1854" s="2" t="s">
        <v>19</v>
      </c>
      <c r="K1854" s="2"/>
      <c r="L1854" s="2"/>
    </row>
    <row r="1855" customFormat="false" ht="13.35" hidden="false" customHeight="true" outlineLevel="0" collapsed="false">
      <c r="A1855" s="5" t="str">
        <f aca="false">HYPERLINK("https://www.fabsurplus.com/sdi_catalog/salesItemDetails.do?id=103143")</f>
        <v>https://www.fabsurplus.com/sdi_catalog/salesItemDetails.do?id=103143</v>
      </c>
      <c r="B1855" s="5" t="s">
        <v>5075</v>
      </c>
      <c r="C1855" s="5" t="s">
        <v>5016</v>
      </c>
      <c r="D1855" s="5" t="s">
        <v>5076</v>
      </c>
      <c r="E1855" s="5" t="s">
        <v>899</v>
      </c>
      <c r="F1855" s="5" t="s">
        <v>16</v>
      </c>
      <c r="G1855" s="5" t="s">
        <v>17</v>
      </c>
      <c r="H1855" s="5"/>
      <c r="I1855" s="6" t="n">
        <v>41061</v>
      </c>
      <c r="J1855" s="5" t="s">
        <v>19</v>
      </c>
      <c r="K1855" s="5"/>
      <c r="L1855" s="5"/>
    </row>
    <row r="1856" customFormat="false" ht="13.35" hidden="false" customHeight="true" outlineLevel="0" collapsed="false">
      <c r="A1856" s="5" t="str">
        <f aca="false">HYPERLINK("https://www.fabsurplus.com/sdi_catalog/salesItemDetails.do?id=87842")</f>
        <v>https://www.fabsurplus.com/sdi_catalog/salesItemDetails.do?id=87842</v>
      </c>
      <c r="B1856" s="5" t="s">
        <v>5077</v>
      </c>
      <c r="C1856" s="5" t="s">
        <v>5016</v>
      </c>
      <c r="D1856" s="5" t="s">
        <v>5076</v>
      </c>
      <c r="E1856" s="5" t="s">
        <v>5078</v>
      </c>
      <c r="F1856" s="5" t="s">
        <v>16</v>
      </c>
      <c r="G1856" s="5" t="s">
        <v>17</v>
      </c>
      <c r="H1856" s="5" t="s">
        <v>26</v>
      </c>
      <c r="I1856" s="6" t="n">
        <v>40483</v>
      </c>
      <c r="J1856" s="5" t="s">
        <v>19</v>
      </c>
      <c r="K1856" s="5" t="s">
        <v>20</v>
      </c>
      <c r="L1856" s="7" t="s">
        <v>5079</v>
      </c>
    </row>
    <row r="1857" customFormat="false" ht="13.35" hidden="false" customHeight="true" outlineLevel="0" collapsed="false">
      <c r="A1857" s="2" t="str">
        <f aca="false">HYPERLINK("https://www.fabsurplus.com/sdi_catalog/salesItemDetails.do?id=102333")</f>
        <v>https://www.fabsurplus.com/sdi_catalog/salesItemDetails.do?id=102333</v>
      </c>
      <c r="B1857" s="2" t="s">
        <v>5080</v>
      </c>
      <c r="C1857" s="2" t="s">
        <v>5020</v>
      </c>
      <c r="D1857" s="2" t="s">
        <v>5071</v>
      </c>
      <c r="E1857" s="2" t="s">
        <v>5081</v>
      </c>
      <c r="F1857" s="2" t="s">
        <v>16</v>
      </c>
      <c r="G1857" s="2" t="s">
        <v>17</v>
      </c>
      <c r="H1857" s="2"/>
      <c r="I1857" s="3" t="n">
        <v>41426</v>
      </c>
      <c r="J1857" s="2" t="s">
        <v>19</v>
      </c>
      <c r="K1857" s="2"/>
      <c r="L1857" s="2"/>
    </row>
    <row r="1858" customFormat="false" ht="13.35" hidden="false" customHeight="true" outlineLevel="0" collapsed="false">
      <c r="A1858" s="5" t="str">
        <f aca="false">HYPERLINK("https://www.fabsurplus.com/sdi_catalog/salesItemDetails.do?id=102334")</f>
        <v>https://www.fabsurplus.com/sdi_catalog/salesItemDetails.do?id=102334</v>
      </c>
      <c r="B1858" s="5" t="s">
        <v>5082</v>
      </c>
      <c r="C1858" s="5" t="s">
        <v>5020</v>
      </c>
      <c r="D1858" s="5" t="s">
        <v>5083</v>
      </c>
      <c r="E1858" s="5" t="s">
        <v>5084</v>
      </c>
      <c r="F1858" s="5" t="s">
        <v>16</v>
      </c>
      <c r="G1858" s="5" t="s">
        <v>17</v>
      </c>
      <c r="H1858" s="5"/>
      <c r="I1858" s="6" t="n">
        <v>37773</v>
      </c>
      <c r="J1858" s="5" t="s">
        <v>19</v>
      </c>
      <c r="K1858" s="5"/>
      <c r="L1858" s="5"/>
    </row>
    <row r="1859" customFormat="false" ht="13.35" hidden="false" customHeight="true" outlineLevel="0" collapsed="false">
      <c r="A1859" s="2" t="str">
        <f aca="false">HYPERLINK("https://www.fabsurplus.com/sdi_catalog/salesItemDetails.do?id=103144")</f>
        <v>https://www.fabsurplus.com/sdi_catalog/salesItemDetails.do?id=103144</v>
      </c>
      <c r="B1859" s="2" t="s">
        <v>5085</v>
      </c>
      <c r="C1859" s="2" t="s">
        <v>5016</v>
      </c>
      <c r="D1859" s="2" t="s">
        <v>5086</v>
      </c>
      <c r="E1859" s="2" t="s">
        <v>5087</v>
      </c>
      <c r="F1859" s="2" t="s">
        <v>16</v>
      </c>
      <c r="G1859" s="2" t="s">
        <v>36</v>
      </c>
      <c r="H1859" s="2"/>
      <c r="I1859" s="3" t="n">
        <v>34486</v>
      </c>
      <c r="J1859" s="2" t="s">
        <v>19</v>
      </c>
      <c r="K1859" s="2"/>
      <c r="L1859" s="2"/>
    </row>
    <row r="1860" customFormat="false" ht="13.35" hidden="false" customHeight="true" outlineLevel="0" collapsed="false">
      <c r="A1860" s="5" t="str">
        <f aca="false">HYPERLINK("https://www.fabsurplus.com/sdi_catalog/salesItemDetails.do?id=103145")</f>
        <v>https://www.fabsurplus.com/sdi_catalog/salesItemDetails.do?id=103145</v>
      </c>
      <c r="B1860" s="5" t="s">
        <v>5088</v>
      </c>
      <c r="C1860" s="5" t="s">
        <v>5016</v>
      </c>
      <c r="D1860" s="5" t="s">
        <v>5086</v>
      </c>
      <c r="E1860" s="5" t="s">
        <v>5087</v>
      </c>
      <c r="F1860" s="5" t="s">
        <v>16</v>
      </c>
      <c r="G1860" s="5" t="s">
        <v>36</v>
      </c>
      <c r="H1860" s="5"/>
      <c r="I1860" s="6" t="n">
        <v>34486</v>
      </c>
      <c r="J1860" s="5" t="s">
        <v>19</v>
      </c>
      <c r="K1860" s="5"/>
      <c r="L1860" s="5"/>
    </row>
    <row r="1861" customFormat="false" ht="13.35" hidden="false" customHeight="true" outlineLevel="0" collapsed="false">
      <c r="A1861" s="2" t="str">
        <f aca="false">HYPERLINK("https://www.fabsurplus.com/sdi_catalog/salesItemDetails.do?id=103146")</f>
        <v>https://www.fabsurplus.com/sdi_catalog/salesItemDetails.do?id=103146</v>
      </c>
      <c r="B1861" s="2" t="s">
        <v>5089</v>
      </c>
      <c r="C1861" s="2" t="s">
        <v>5016</v>
      </c>
      <c r="D1861" s="2" t="s">
        <v>5086</v>
      </c>
      <c r="E1861" s="2" t="s">
        <v>5087</v>
      </c>
      <c r="F1861" s="2" t="s">
        <v>16</v>
      </c>
      <c r="G1861" s="2" t="s">
        <v>36</v>
      </c>
      <c r="H1861" s="2"/>
      <c r="I1861" s="3" t="n">
        <v>34486</v>
      </c>
      <c r="J1861" s="2" t="s">
        <v>19</v>
      </c>
      <c r="K1861" s="2"/>
      <c r="L1861" s="2"/>
    </row>
    <row r="1862" customFormat="false" ht="13.35" hidden="false" customHeight="true" outlineLevel="0" collapsed="false">
      <c r="A1862" s="5" t="str">
        <f aca="false">HYPERLINK("https://www.fabsurplus.com/sdi_catalog/salesItemDetails.do?id=88117")</f>
        <v>https://www.fabsurplus.com/sdi_catalog/salesItemDetails.do?id=88117</v>
      </c>
      <c r="B1862" s="5" t="s">
        <v>5090</v>
      </c>
      <c r="C1862" s="5" t="s">
        <v>5016</v>
      </c>
      <c r="D1862" s="5" t="s">
        <v>5091</v>
      </c>
      <c r="E1862" s="5" t="s">
        <v>87</v>
      </c>
      <c r="F1862" s="5" t="s">
        <v>16</v>
      </c>
      <c r="G1862" s="5" t="s">
        <v>88</v>
      </c>
      <c r="H1862" s="5"/>
      <c r="I1862" s="5"/>
      <c r="J1862" s="5" t="s">
        <v>19</v>
      </c>
      <c r="K1862" s="5"/>
      <c r="L1862" s="5" t="s">
        <v>89</v>
      </c>
    </row>
    <row r="1863" customFormat="false" ht="13.35" hidden="false" customHeight="true" outlineLevel="0" collapsed="false">
      <c r="A1863" s="5" t="str">
        <f aca="false">HYPERLINK("https://www.fabsurplus.com/sdi_catalog/salesItemDetails.do?id=91233")</f>
        <v>https://www.fabsurplus.com/sdi_catalog/salesItemDetails.do?id=91233</v>
      </c>
      <c r="B1863" s="5" t="s">
        <v>5092</v>
      </c>
      <c r="C1863" s="5" t="s">
        <v>5016</v>
      </c>
      <c r="D1863" s="5" t="s">
        <v>5093</v>
      </c>
      <c r="E1863" s="5" t="s">
        <v>5038</v>
      </c>
      <c r="F1863" s="5" t="s">
        <v>16</v>
      </c>
      <c r="G1863" s="5" t="s">
        <v>17</v>
      </c>
      <c r="H1863" s="5"/>
      <c r="I1863" s="6" t="n">
        <v>40330</v>
      </c>
      <c r="J1863" s="5" t="s">
        <v>19</v>
      </c>
      <c r="K1863" s="5"/>
      <c r="L1863" s="5" t="s">
        <v>112</v>
      </c>
    </row>
    <row r="1864" customFormat="false" ht="13.35" hidden="false" customHeight="true" outlineLevel="0" collapsed="false">
      <c r="A1864" s="2" t="str">
        <f aca="false">HYPERLINK("https://www.fabsurplus.com/sdi_catalog/salesItemDetails.do?id=102335")</f>
        <v>https://www.fabsurplus.com/sdi_catalog/salesItemDetails.do?id=102335</v>
      </c>
      <c r="B1864" s="2" t="s">
        <v>5094</v>
      </c>
      <c r="C1864" s="2" t="s">
        <v>5020</v>
      </c>
      <c r="D1864" s="2" t="s">
        <v>5095</v>
      </c>
      <c r="E1864" s="2" t="s">
        <v>5096</v>
      </c>
      <c r="F1864" s="2" t="s">
        <v>16</v>
      </c>
      <c r="G1864" s="2" t="s">
        <v>17</v>
      </c>
      <c r="H1864" s="2"/>
      <c r="I1864" s="3" t="n">
        <v>42887</v>
      </c>
      <c r="J1864" s="2" t="s">
        <v>19</v>
      </c>
      <c r="K1864" s="2"/>
      <c r="L1864" s="4" t="s">
        <v>5097</v>
      </c>
    </row>
    <row r="1865" customFormat="false" ht="13.35" hidden="false" customHeight="true" outlineLevel="0" collapsed="false">
      <c r="A1865" s="2" t="str">
        <f aca="false">HYPERLINK("https://www.fabsurplus.com/sdi_catalog/salesItemDetails.do?id=66400")</f>
        <v>https://www.fabsurplus.com/sdi_catalog/salesItemDetails.do?id=66400</v>
      </c>
      <c r="B1865" s="2" t="s">
        <v>5098</v>
      </c>
      <c r="C1865" s="2" t="s">
        <v>5020</v>
      </c>
      <c r="D1865" s="2" t="s">
        <v>5099</v>
      </c>
      <c r="E1865" s="2" t="s">
        <v>5100</v>
      </c>
      <c r="F1865" s="2" t="s">
        <v>16</v>
      </c>
      <c r="G1865" s="2" t="s">
        <v>36</v>
      </c>
      <c r="H1865" s="2" t="s">
        <v>18</v>
      </c>
      <c r="I1865" s="3" t="n">
        <v>36678</v>
      </c>
      <c r="J1865" s="2" t="s">
        <v>19</v>
      </c>
      <c r="K1865" s="2" t="s">
        <v>20</v>
      </c>
      <c r="L1865" s="4" t="s">
        <v>5101</v>
      </c>
    </row>
    <row r="1866" customFormat="false" ht="13.35" hidden="false" customHeight="true" outlineLevel="0" collapsed="false">
      <c r="A1866" s="5" t="str">
        <f aca="false">HYPERLINK("https://www.fabsurplus.com/sdi_catalog/salesItemDetails.do?id=90376")</f>
        <v>https://www.fabsurplus.com/sdi_catalog/salesItemDetails.do?id=90376</v>
      </c>
      <c r="B1866" s="5" t="s">
        <v>5102</v>
      </c>
      <c r="C1866" s="5" t="s">
        <v>5020</v>
      </c>
      <c r="D1866" s="5" t="s">
        <v>5099</v>
      </c>
      <c r="E1866" s="5" t="s">
        <v>5100</v>
      </c>
      <c r="F1866" s="5" t="s">
        <v>16</v>
      </c>
      <c r="G1866" s="5" t="s">
        <v>36</v>
      </c>
      <c r="H1866" s="5" t="s">
        <v>18</v>
      </c>
      <c r="I1866" s="6" t="n">
        <v>37773</v>
      </c>
      <c r="J1866" s="5" t="s">
        <v>19</v>
      </c>
      <c r="K1866" s="5" t="s">
        <v>20</v>
      </c>
      <c r="L1866" s="7" t="s">
        <v>5103</v>
      </c>
    </row>
    <row r="1867" customFormat="false" ht="13.35" hidden="false" customHeight="true" outlineLevel="0" collapsed="false">
      <c r="A1867" s="2" t="str">
        <f aca="false">HYPERLINK("https://www.fabsurplus.com/sdi_catalog/salesItemDetails.do?id=88118")</f>
        <v>https://www.fabsurplus.com/sdi_catalog/salesItemDetails.do?id=88118</v>
      </c>
      <c r="B1867" s="2" t="s">
        <v>5104</v>
      </c>
      <c r="C1867" s="2" t="s">
        <v>5016</v>
      </c>
      <c r="D1867" s="2" t="s">
        <v>5105</v>
      </c>
      <c r="E1867" s="2" t="s">
        <v>87</v>
      </c>
      <c r="F1867" s="2" t="s">
        <v>16</v>
      </c>
      <c r="G1867" s="2" t="s">
        <v>88</v>
      </c>
      <c r="H1867" s="2"/>
      <c r="I1867" s="2"/>
      <c r="J1867" s="2" t="s">
        <v>19</v>
      </c>
      <c r="K1867" s="2"/>
      <c r="L1867" s="2" t="s">
        <v>89</v>
      </c>
    </row>
    <row r="1868" customFormat="false" ht="13.35" hidden="false" customHeight="true" outlineLevel="0" collapsed="false">
      <c r="A1868" s="2" t="str">
        <f aca="false">HYPERLINK("https://www.fabsurplus.com/sdi_catalog/salesItemDetails.do?id=98295")</f>
        <v>https://www.fabsurplus.com/sdi_catalog/salesItemDetails.do?id=98295</v>
      </c>
      <c r="B1868" s="2" t="s">
        <v>5106</v>
      </c>
      <c r="C1868" s="2" t="s">
        <v>5016</v>
      </c>
      <c r="D1868" s="2" t="s">
        <v>5107</v>
      </c>
      <c r="E1868" s="2" t="s">
        <v>829</v>
      </c>
      <c r="F1868" s="2" t="s">
        <v>16</v>
      </c>
      <c r="G1868" s="2" t="s">
        <v>17</v>
      </c>
      <c r="H1868" s="2"/>
      <c r="I1868" s="3" t="n">
        <v>41061</v>
      </c>
      <c r="J1868" s="2" t="s">
        <v>19</v>
      </c>
      <c r="K1868" s="2"/>
      <c r="L1868" s="2"/>
    </row>
    <row r="1869" customFormat="false" ht="13.35" hidden="false" customHeight="true" outlineLevel="0" collapsed="false">
      <c r="A1869" s="2" t="str">
        <f aca="false">HYPERLINK("https://www.fabsurplus.com/sdi_catalog/salesItemDetails.do?id=102337")</f>
        <v>https://www.fabsurplus.com/sdi_catalog/salesItemDetails.do?id=102337</v>
      </c>
      <c r="B1869" s="2" t="s">
        <v>5108</v>
      </c>
      <c r="C1869" s="2" t="s">
        <v>5020</v>
      </c>
      <c r="D1869" s="2" t="s">
        <v>4202</v>
      </c>
      <c r="E1869" s="2" t="s">
        <v>5109</v>
      </c>
      <c r="F1869" s="2" t="s">
        <v>16</v>
      </c>
      <c r="G1869" s="2" t="s">
        <v>17</v>
      </c>
      <c r="H1869" s="2"/>
      <c r="I1869" s="3" t="n">
        <v>38504</v>
      </c>
      <c r="J1869" s="2" t="s">
        <v>19</v>
      </c>
      <c r="K1869" s="2"/>
      <c r="L1869" s="2"/>
    </row>
    <row r="1870" customFormat="false" ht="13.35" hidden="false" customHeight="true" outlineLevel="0" collapsed="false">
      <c r="A1870" s="5" t="str">
        <f aca="false">HYPERLINK("https://www.fabsurplus.com/sdi_catalog/salesItemDetails.do?id=102336")</f>
        <v>https://www.fabsurplus.com/sdi_catalog/salesItemDetails.do?id=102336</v>
      </c>
      <c r="B1870" s="5" t="s">
        <v>5110</v>
      </c>
      <c r="C1870" s="5" t="s">
        <v>5020</v>
      </c>
      <c r="D1870" s="5" t="s">
        <v>4202</v>
      </c>
      <c r="E1870" s="5" t="s">
        <v>5111</v>
      </c>
      <c r="F1870" s="5" t="s">
        <v>16</v>
      </c>
      <c r="G1870" s="5" t="s">
        <v>17</v>
      </c>
      <c r="H1870" s="5"/>
      <c r="I1870" s="6" t="n">
        <v>39234</v>
      </c>
      <c r="J1870" s="5" t="s">
        <v>19</v>
      </c>
      <c r="K1870" s="5"/>
      <c r="L1870" s="5"/>
    </row>
    <row r="1871" customFormat="false" ht="13.35" hidden="false" customHeight="true" outlineLevel="0" collapsed="false">
      <c r="A1871" s="5" t="str">
        <f aca="false">HYPERLINK("https://www.fabsurplus.com/sdi_catalog/salesItemDetails.do?id=100924")</f>
        <v>https://www.fabsurplus.com/sdi_catalog/salesItemDetails.do?id=100924</v>
      </c>
      <c r="B1871" s="5" t="s">
        <v>5112</v>
      </c>
      <c r="C1871" s="5" t="s">
        <v>5016</v>
      </c>
      <c r="D1871" s="5" t="s">
        <v>5113</v>
      </c>
      <c r="E1871" s="5" t="s">
        <v>5114</v>
      </c>
      <c r="F1871" s="5" t="s">
        <v>16</v>
      </c>
      <c r="G1871" s="5" t="s">
        <v>17</v>
      </c>
      <c r="H1871" s="5"/>
      <c r="I1871" s="6" t="n">
        <v>39234</v>
      </c>
      <c r="J1871" s="5" t="s">
        <v>19</v>
      </c>
      <c r="K1871" s="5"/>
      <c r="L1871" s="5" t="s">
        <v>618</v>
      </c>
    </row>
    <row r="1872" customFormat="false" ht="13.35" hidden="false" customHeight="true" outlineLevel="0" collapsed="false">
      <c r="A1872" s="2" t="str">
        <f aca="false">HYPERLINK("https://www.fabsurplus.com/sdi_catalog/salesItemDetails.do?id=100925")</f>
        <v>https://www.fabsurplus.com/sdi_catalog/salesItemDetails.do?id=100925</v>
      </c>
      <c r="B1872" s="2" t="s">
        <v>5115</v>
      </c>
      <c r="C1872" s="2" t="s">
        <v>5016</v>
      </c>
      <c r="D1872" s="2" t="s">
        <v>5113</v>
      </c>
      <c r="E1872" s="2" t="s">
        <v>5114</v>
      </c>
      <c r="F1872" s="2" t="s">
        <v>16</v>
      </c>
      <c r="G1872" s="2" t="s">
        <v>17</v>
      </c>
      <c r="H1872" s="2"/>
      <c r="I1872" s="3" t="n">
        <v>39234</v>
      </c>
      <c r="J1872" s="2" t="s">
        <v>19</v>
      </c>
      <c r="K1872" s="2"/>
      <c r="L1872" s="2" t="s">
        <v>618</v>
      </c>
    </row>
    <row r="1873" customFormat="false" ht="13.35" hidden="false" customHeight="true" outlineLevel="0" collapsed="false">
      <c r="A1873" s="5" t="str">
        <f aca="false">HYPERLINK("https://www.fabsurplus.com/sdi_catalog/salesItemDetails.do?id=100926")</f>
        <v>https://www.fabsurplus.com/sdi_catalog/salesItemDetails.do?id=100926</v>
      </c>
      <c r="B1873" s="5" t="s">
        <v>5116</v>
      </c>
      <c r="C1873" s="5" t="s">
        <v>5016</v>
      </c>
      <c r="D1873" s="5" t="s">
        <v>5113</v>
      </c>
      <c r="E1873" s="5" t="s">
        <v>5114</v>
      </c>
      <c r="F1873" s="5" t="s">
        <v>16</v>
      </c>
      <c r="G1873" s="5" t="s">
        <v>17</v>
      </c>
      <c r="H1873" s="5"/>
      <c r="I1873" s="6" t="n">
        <v>39234</v>
      </c>
      <c r="J1873" s="5" t="s">
        <v>19</v>
      </c>
      <c r="K1873" s="5"/>
      <c r="L1873" s="5" t="s">
        <v>618</v>
      </c>
    </row>
    <row r="1874" customFormat="false" ht="13.35" hidden="false" customHeight="true" outlineLevel="0" collapsed="false">
      <c r="A1874" s="5" t="str">
        <f aca="false">HYPERLINK("https://www.fabsurplus.com/sdi_catalog/salesItemDetails.do?id=102893")</f>
        <v>https://www.fabsurplus.com/sdi_catalog/salesItemDetails.do?id=102893</v>
      </c>
      <c r="B1874" s="5" t="s">
        <v>5117</v>
      </c>
      <c r="C1874" s="5" t="s">
        <v>5118</v>
      </c>
      <c r="D1874" s="5" t="s">
        <v>5119</v>
      </c>
      <c r="E1874" s="5" t="s">
        <v>5120</v>
      </c>
      <c r="F1874" s="5" t="s">
        <v>16</v>
      </c>
      <c r="G1874" s="5" t="s">
        <v>36</v>
      </c>
      <c r="H1874" s="5"/>
      <c r="I1874" s="5"/>
      <c r="J1874" s="5" t="s">
        <v>19</v>
      </c>
      <c r="K1874" s="5"/>
      <c r="L1874" s="5" t="s">
        <v>5121</v>
      </c>
    </row>
    <row r="1875" customFormat="false" ht="13.35" hidden="false" customHeight="true" outlineLevel="0" collapsed="false">
      <c r="A1875" s="5" t="str">
        <f aca="false">HYPERLINK("https://www.fabsurplus.com/sdi_catalog/salesItemDetails.do?id=101972")</f>
        <v>https://www.fabsurplus.com/sdi_catalog/salesItemDetails.do?id=101972</v>
      </c>
      <c r="B1875" s="5" t="s">
        <v>5122</v>
      </c>
      <c r="C1875" s="5" t="s">
        <v>5123</v>
      </c>
      <c r="D1875" s="5" t="s">
        <v>5124</v>
      </c>
      <c r="E1875" s="5" t="s">
        <v>5125</v>
      </c>
      <c r="F1875" s="5" t="s">
        <v>16</v>
      </c>
      <c r="G1875" s="5" t="s">
        <v>1817</v>
      </c>
      <c r="H1875" s="5"/>
      <c r="I1875" s="5"/>
      <c r="J1875" s="5" t="s">
        <v>19</v>
      </c>
      <c r="K1875" s="5"/>
      <c r="L1875" s="5" t="s">
        <v>161</v>
      </c>
    </row>
    <row r="1876" customFormat="false" ht="13.35" hidden="false" customHeight="true" outlineLevel="0" collapsed="false">
      <c r="A1876" s="2" t="str">
        <f aca="false">HYPERLINK("https://www.fabsurplus.com/sdi_catalog/salesItemDetails.do?id=101973")</f>
        <v>https://www.fabsurplus.com/sdi_catalog/salesItemDetails.do?id=101973</v>
      </c>
      <c r="B1876" s="2" t="s">
        <v>5126</v>
      </c>
      <c r="C1876" s="2" t="s">
        <v>5123</v>
      </c>
      <c r="D1876" s="2" t="s">
        <v>5124</v>
      </c>
      <c r="E1876" s="2" t="s">
        <v>5125</v>
      </c>
      <c r="F1876" s="2" t="s">
        <v>16</v>
      </c>
      <c r="G1876" s="2" t="s">
        <v>1817</v>
      </c>
      <c r="H1876" s="2"/>
      <c r="I1876" s="2"/>
      <c r="J1876" s="2" t="s">
        <v>19</v>
      </c>
      <c r="K1876" s="2"/>
      <c r="L1876" s="2" t="s">
        <v>161</v>
      </c>
    </row>
    <row r="1877" customFormat="false" ht="13.35" hidden="false" customHeight="true" outlineLevel="0" collapsed="false">
      <c r="A1877" s="5" t="str">
        <f aca="false">HYPERLINK("https://www.fabsurplus.com/sdi_catalog/salesItemDetails.do?id=101974")</f>
        <v>https://www.fabsurplus.com/sdi_catalog/salesItemDetails.do?id=101974</v>
      </c>
      <c r="B1877" s="5" t="s">
        <v>5127</v>
      </c>
      <c r="C1877" s="5" t="s">
        <v>5123</v>
      </c>
      <c r="D1877" s="5" t="s">
        <v>5124</v>
      </c>
      <c r="E1877" s="5" t="s">
        <v>5125</v>
      </c>
      <c r="F1877" s="5" t="s">
        <v>16</v>
      </c>
      <c r="G1877" s="5" t="s">
        <v>1817</v>
      </c>
      <c r="H1877" s="5"/>
      <c r="I1877" s="5"/>
      <c r="J1877" s="5" t="s">
        <v>19</v>
      </c>
      <c r="K1877" s="5"/>
      <c r="L1877" s="5" t="s">
        <v>161</v>
      </c>
    </row>
    <row r="1878" customFormat="false" ht="13.35" hidden="false" customHeight="true" outlineLevel="0" collapsed="false">
      <c r="A1878" s="2" t="str">
        <f aca="false">HYPERLINK("https://www.fabsurplus.com/sdi_catalog/salesItemDetails.do?id=88119")</f>
        <v>https://www.fabsurplus.com/sdi_catalog/salesItemDetails.do?id=88119</v>
      </c>
      <c r="B1878" s="2" t="s">
        <v>5128</v>
      </c>
      <c r="C1878" s="2" t="s">
        <v>5129</v>
      </c>
      <c r="D1878" s="2" t="s">
        <v>5130</v>
      </c>
      <c r="E1878" s="2" t="s">
        <v>87</v>
      </c>
      <c r="F1878" s="2" t="s">
        <v>125</v>
      </c>
      <c r="G1878" s="2" t="s">
        <v>88</v>
      </c>
      <c r="H1878" s="2"/>
      <c r="I1878" s="2"/>
      <c r="J1878" s="2" t="s">
        <v>19</v>
      </c>
      <c r="K1878" s="2"/>
      <c r="L1878" s="2" t="s">
        <v>89</v>
      </c>
    </row>
    <row r="1879" customFormat="false" ht="13.35" hidden="false" customHeight="true" outlineLevel="0" collapsed="false">
      <c r="A1879" s="5" t="str">
        <f aca="false">HYPERLINK("https://www.fabsurplus.com/sdi_catalog/salesItemDetails.do?id=88120")</f>
        <v>https://www.fabsurplus.com/sdi_catalog/salesItemDetails.do?id=88120</v>
      </c>
      <c r="B1879" s="5" t="s">
        <v>5131</v>
      </c>
      <c r="C1879" s="5" t="s">
        <v>5129</v>
      </c>
      <c r="D1879" s="5" t="s">
        <v>5132</v>
      </c>
      <c r="E1879" s="5" t="s">
        <v>87</v>
      </c>
      <c r="F1879" s="5" t="s">
        <v>176</v>
      </c>
      <c r="G1879" s="5" t="s">
        <v>88</v>
      </c>
      <c r="H1879" s="5"/>
      <c r="I1879" s="5"/>
      <c r="J1879" s="5" t="s">
        <v>19</v>
      </c>
      <c r="K1879" s="5"/>
      <c r="L1879" s="5" t="s">
        <v>89</v>
      </c>
    </row>
    <row r="1880" customFormat="false" ht="13.35" hidden="false" customHeight="true" outlineLevel="0" collapsed="false">
      <c r="A1880" s="2" t="str">
        <f aca="false">HYPERLINK("https://www.fabsurplus.com/sdi_catalog/salesItemDetails.do?id=88121")</f>
        <v>https://www.fabsurplus.com/sdi_catalog/salesItemDetails.do?id=88121</v>
      </c>
      <c r="B1880" s="2" t="s">
        <v>5133</v>
      </c>
      <c r="C1880" s="2" t="s">
        <v>5129</v>
      </c>
      <c r="D1880" s="2" t="s">
        <v>5134</v>
      </c>
      <c r="E1880" s="2" t="s">
        <v>87</v>
      </c>
      <c r="F1880" s="2" t="s">
        <v>16</v>
      </c>
      <c r="G1880" s="2" t="s">
        <v>88</v>
      </c>
      <c r="H1880" s="2"/>
      <c r="I1880" s="2"/>
      <c r="J1880" s="2" t="s">
        <v>19</v>
      </c>
      <c r="K1880" s="2"/>
      <c r="L1880" s="2" t="s">
        <v>89</v>
      </c>
    </row>
    <row r="1881" customFormat="false" ht="13.35" hidden="false" customHeight="true" outlineLevel="0" collapsed="false">
      <c r="A1881" s="5" t="str">
        <f aca="false">HYPERLINK("https://www.fabsurplus.com/sdi_catalog/salesItemDetails.do?id=88122")</f>
        <v>https://www.fabsurplus.com/sdi_catalog/salesItemDetails.do?id=88122</v>
      </c>
      <c r="B1881" s="5" t="s">
        <v>5135</v>
      </c>
      <c r="C1881" s="5" t="s">
        <v>5129</v>
      </c>
      <c r="D1881" s="5" t="s">
        <v>5136</v>
      </c>
      <c r="E1881" s="5" t="s">
        <v>87</v>
      </c>
      <c r="F1881" s="5" t="s">
        <v>336</v>
      </c>
      <c r="G1881" s="5" t="s">
        <v>88</v>
      </c>
      <c r="H1881" s="5"/>
      <c r="I1881" s="5"/>
      <c r="J1881" s="5" t="s">
        <v>19</v>
      </c>
      <c r="K1881" s="5"/>
      <c r="L1881" s="5" t="s">
        <v>89</v>
      </c>
    </row>
    <row r="1882" customFormat="false" ht="13.35" hidden="false" customHeight="true" outlineLevel="0" collapsed="false">
      <c r="A1882" s="2" t="str">
        <f aca="false">HYPERLINK("https://www.fabsurplus.com/sdi_catalog/salesItemDetails.do?id=88123")</f>
        <v>https://www.fabsurplus.com/sdi_catalog/salesItemDetails.do?id=88123</v>
      </c>
      <c r="B1882" s="2" t="s">
        <v>5137</v>
      </c>
      <c r="C1882" s="2" t="s">
        <v>5129</v>
      </c>
      <c r="D1882" s="2" t="s">
        <v>5138</v>
      </c>
      <c r="E1882" s="2" t="s">
        <v>87</v>
      </c>
      <c r="F1882" s="2" t="s">
        <v>2000</v>
      </c>
      <c r="G1882" s="2" t="s">
        <v>88</v>
      </c>
      <c r="H1882" s="2"/>
      <c r="I1882" s="2"/>
      <c r="J1882" s="2" t="s">
        <v>19</v>
      </c>
      <c r="K1882" s="2"/>
      <c r="L1882" s="2" t="s">
        <v>89</v>
      </c>
    </row>
    <row r="1883" customFormat="false" ht="13.35" hidden="false" customHeight="true" outlineLevel="0" collapsed="false">
      <c r="A1883" s="5" t="str">
        <f aca="false">HYPERLINK("https://www.fabsurplus.com/sdi_catalog/salesItemDetails.do?id=88124")</f>
        <v>https://www.fabsurplus.com/sdi_catalog/salesItemDetails.do?id=88124</v>
      </c>
      <c r="B1883" s="5" t="s">
        <v>5139</v>
      </c>
      <c r="C1883" s="5" t="s">
        <v>5129</v>
      </c>
      <c r="D1883" s="5" t="s">
        <v>5140</v>
      </c>
      <c r="E1883" s="5" t="s">
        <v>87</v>
      </c>
      <c r="F1883" s="5" t="s">
        <v>58</v>
      </c>
      <c r="G1883" s="5" t="s">
        <v>88</v>
      </c>
      <c r="H1883" s="5"/>
      <c r="I1883" s="5"/>
      <c r="J1883" s="5" t="s">
        <v>19</v>
      </c>
      <c r="K1883" s="5"/>
      <c r="L1883" s="5" t="s">
        <v>89</v>
      </c>
    </row>
    <row r="1884" customFormat="false" ht="13.35" hidden="false" customHeight="true" outlineLevel="0" collapsed="false">
      <c r="A1884" s="2" t="str">
        <f aca="false">HYPERLINK("https://www.fabsurplus.com/sdi_catalog/salesItemDetails.do?id=88125")</f>
        <v>https://www.fabsurplus.com/sdi_catalog/salesItemDetails.do?id=88125</v>
      </c>
      <c r="B1884" s="2" t="s">
        <v>5141</v>
      </c>
      <c r="C1884" s="2" t="s">
        <v>5129</v>
      </c>
      <c r="D1884" s="2" t="s">
        <v>5142</v>
      </c>
      <c r="E1884" s="2" t="s">
        <v>87</v>
      </c>
      <c r="F1884" s="2" t="s">
        <v>460</v>
      </c>
      <c r="G1884" s="2" t="s">
        <v>88</v>
      </c>
      <c r="H1884" s="2"/>
      <c r="I1884" s="2"/>
      <c r="J1884" s="2" t="s">
        <v>19</v>
      </c>
      <c r="K1884" s="2"/>
      <c r="L1884" s="2" t="s">
        <v>89</v>
      </c>
    </row>
    <row r="1885" customFormat="false" ht="13.35" hidden="false" customHeight="true" outlineLevel="0" collapsed="false">
      <c r="A1885" s="5" t="str">
        <f aca="false">HYPERLINK("https://www.fabsurplus.com/sdi_catalog/salesItemDetails.do?id=88126")</f>
        <v>https://www.fabsurplus.com/sdi_catalog/salesItemDetails.do?id=88126</v>
      </c>
      <c r="B1885" s="5" t="s">
        <v>5143</v>
      </c>
      <c r="C1885" s="5" t="s">
        <v>5129</v>
      </c>
      <c r="D1885" s="5" t="s">
        <v>5142</v>
      </c>
      <c r="E1885" s="5" t="s">
        <v>87</v>
      </c>
      <c r="F1885" s="5" t="s">
        <v>16</v>
      </c>
      <c r="G1885" s="5" t="s">
        <v>88</v>
      </c>
      <c r="H1885" s="5"/>
      <c r="I1885" s="5"/>
      <c r="J1885" s="5" t="s">
        <v>19</v>
      </c>
      <c r="K1885" s="5"/>
      <c r="L1885" s="5" t="s">
        <v>89</v>
      </c>
    </row>
    <row r="1886" customFormat="false" ht="13.35" hidden="false" customHeight="true" outlineLevel="0" collapsed="false">
      <c r="A1886" s="2" t="str">
        <f aca="false">HYPERLINK("https://www.fabsurplus.com/sdi_catalog/salesItemDetails.do?id=88127")</f>
        <v>https://www.fabsurplus.com/sdi_catalog/salesItemDetails.do?id=88127</v>
      </c>
      <c r="B1886" s="2" t="s">
        <v>5144</v>
      </c>
      <c r="C1886" s="2" t="s">
        <v>5129</v>
      </c>
      <c r="D1886" s="2" t="s">
        <v>5145</v>
      </c>
      <c r="E1886" s="2" t="s">
        <v>87</v>
      </c>
      <c r="F1886" s="2" t="s">
        <v>16</v>
      </c>
      <c r="G1886" s="2" t="s">
        <v>88</v>
      </c>
      <c r="H1886" s="2"/>
      <c r="I1886" s="2"/>
      <c r="J1886" s="2" t="s">
        <v>19</v>
      </c>
      <c r="K1886" s="2"/>
      <c r="L1886" s="2" t="s">
        <v>89</v>
      </c>
    </row>
    <row r="1887" customFormat="false" ht="13.35" hidden="false" customHeight="true" outlineLevel="0" collapsed="false">
      <c r="A1887" s="5" t="str">
        <f aca="false">HYPERLINK("https://www.fabsurplus.com/sdi_catalog/salesItemDetails.do?id=88128")</f>
        <v>https://www.fabsurplus.com/sdi_catalog/salesItemDetails.do?id=88128</v>
      </c>
      <c r="B1887" s="5" t="s">
        <v>5146</v>
      </c>
      <c r="C1887" s="5" t="s">
        <v>5129</v>
      </c>
      <c r="D1887" s="5" t="s">
        <v>5147</v>
      </c>
      <c r="E1887" s="5" t="s">
        <v>87</v>
      </c>
      <c r="F1887" s="5" t="s">
        <v>125</v>
      </c>
      <c r="G1887" s="5" t="s">
        <v>88</v>
      </c>
      <c r="H1887" s="5"/>
      <c r="I1887" s="5"/>
      <c r="J1887" s="5" t="s">
        <v>19</v>
      </c>
      <c r="K1887" s="5"/>
      <c r="L1887" s="5" t="s">
        <v>89</v>
      </c>
    </row>
    <row r="1888" customFormat="false" ht="13.35" hidden="false" customHeight="true" outlineLevel="0" collapsed="false">
      <c r="A1888" s="2" t="str">
        <f aca="false">HYPERLINK("https://www.fabsurplus.com/sdi_catalog/salesItemDetails.do?id=88129")</f>
        <v>https://www.fabsurplus.com/sdi_catalog/salesItemDetails.do?id=88129</v>
      </c>
      <c r="B1888" s="2" t="s">
        <v>5148</v>
      </c>
      <c r="C1888" s="2" t="s">
        <v>5129</v>
      </c>
      <c r="D1888" s="2" t="s">
        <v>5149</v>
      </c>
      <c r="E1888" s="2" t="s">
        <v>87</v>
      </c>
      <c r="F1888" s="2" t="s">
        <v>5150</v>
      </c>
      <c r="G1888" s="2" t="s">
        <v>88</v>
      </c>
      <c r="H1888" s="2"/>
      <c r="I1888" s="2"/>
      <c r="J1888" s="2" t="s">
        <v>19</v>
      </c>
      <c r="K1888" s="2"/>
      <c r="L1888" s="2" t="s">
        <v>89</v>
      </c>
    </row>
    <row r="1889" customFormat="false" ht="13.35" hidden="false" customHeight="true" outlineLevel="0" collapsed="false">
      <c r="A1889" s="5" t="str">
        <f aca="false">HYPERLINK("https://www.fabsurplus.com/sdi_catalog/salesItemDetails.do?id=88130")</f>
        <v>https://www.fabsurplus.com/sdi_catalog/salesItemDetails.do?id=88130</v>
      </c>
      <c r="B1889" s="5" t="s">
        <v>5151</v>
      </c>
      <c r="C1889" s="5" t="s">
        <v>5129</v>
      </c>
      <c r="D1889" s="5" t="s">
        <v>5152</v>
      </c>
      <c r="E1889" s="5" t="s">
        <v>87</v>
      </c>
      <c r="F1889" s="5" t="s">
        <v>125</v>
      </c>
      <c r="G1889" s="5" t="s">
        <v>88</v>
      </c>
      <c r="H1889" s="5"/>
      <c r="I1889" s="5"/>
      <c r="J1889" s="5" t="s">
        <v>19</v>
      </c>
      <c r="K1889" s="5"/>
      <c r="L1889" s="5" t="s">
        <v>89</v>
      </c>
    </row>
    <row r="1890" customFormat="false" ht="13.35" hidden="false" customHeight="true" outlineLevel="0" collapsed="false">
      <c r="A1890" s="2" t="str">
        <f aca="false">HYPERLINK("https://www.fabsurplus.com/sdi_catalog/salesItemDetails.do?id=88131")</f>
        <v>https://www.fabsurplus.com/sdi_catalog/salesItemDetails.do?id=88131</v>
      </c>
      <c r="B1890" s="2" t="s">
        <v>5153</v>
      </c>
      <c r="C1890" s="2" t="s">
        <v>5129</v>
      </c>
      <c r="D1890" s="2" t="s">
        <v>5154</v>
      </c>
      <c r="E1890" s="2" t="s">
        <v>87</v>
      </c>
      <c r="F1890" s="2" t="s">
        <v>393</v>
      </c>
      <c r="G1890" s="2" t="s">
        <v>88</v>
      </c>
      <c r="H1890" s="2"/>
      <c r="I1890" s="2"/>
      <c r="J1890" s="2" t="s">
        <v>19</v>
      </c>
      <c r="K1890" s="2"/>
      <c r="L1890" s="2" t="s">
        <v>89</v>
      </c>
    </row>
    <row r="1891" customFormat="false" ht="13.35" hidden="false" customHeight="true" outlineLevel="0" collapsed="false">
      <c r="A1891" s="5" t="str">
        <f aca="false">HYPERLINK("https://www.fabsurplus.com/sdi_catalog/salesItemDetails.do?id=102650")</f>
        <v>https://www.fabsurplus.com/sdi_catalog/salesItemDetails.do?id=102650</v>
      </c>
      <c r="B1891" s="5" t="s">
        <v>5155</v>
      </c>
      <c r="C1891" s="5" t="s">
        <v>5156</v>
      </c>
      <c r="D1891" s="5" t="s">
        <v>5157</v>
      </c>
      <c r="E1891" s="5" t="s">
        <v>5158</v>
      </c>
      <c r="F1891" s="5" t="s">
        <v>176</v>
      </c>
      <c r="G1891" s="5"/>
      <c r="H1891" s="5" t="s">
        <v>26</v>
      </c>
      <c r="I1891" s="5"/>
      <c r="J1891" s="5" t="s">
        <v>47</v>
      </c>
      <c r="K1891" s="5" t="s">
        <v>20</v>
      </c>
      <c r="L1891" s="7" t="s">
        <v>5159</v>
      </c>
    </row>
    <row r="1892" customFormat="false" ht="13.35" hidden="false" customHeight="true" outlineLevel="0" collapsed="false">
      <c r="A1892" s="2" t="str">
        <f aca="false">HYPERLINK("https://www.fabsurplus.com/sdi_catalog/salesItemDetails.do?id=93209")</f>
        <v>https://www.fabsurplus.com/sdi_catalog/salesItemDetails.do?id=93209</v>
      </c>
      <c r="B1892" s="2" t="s">
        <v>5160</v>
      </c>
      <c r="C1892" s="2" t="s">
        <v>5161</v>
      </c>
      <c r="D1892" s="2" t="s">
        <v>5162</v>
      </c>
      <c r="E1892" s="2" t="s">
        <v>4284</v>
      </c>
      <c r="F1892" s="2" t="s">
        <v>16</v>
      </c>
      <c r="G1892" s="2" t="s">
        <v>138</v>
      </c>
      <c r="H1892" s="2" t="s">
        <v>26</v>
      </c>
      <c r="I1892" s="3" t="n">
        <v>39600</v>
      </c>
      <c r="J1892" s="2" t="s">
        <v>19</v>
      </c>
      <c r="K1892" s="2" t="s">
        <v>20</v>
      </c>
      <c r="L1892" s="2" t="s">
        <v>112</v>
      </c>
    </row>
    <row r="1893" customFormat="false" ht="13.35" hidden="false" customHeight="true" outlineLevel="0" collapsed="false">
      <c r="A1893" s="5" t="str">
        <f aca="false">HYPERLINK("https://www.fabsurplus.com/sdi_catalog/salesItemDetails.do?id=101767")</f>
        <v>https://www.fabsurplus.com/sdi_catalog/salesItemDetails.do?id=101767</v>
      </c>
      <c r="B1893" s="5" t="s">
        <v>5163</v>
      </c>
      <c r="C1893" s="5" t="s">
        <v>5161</v>
      </c>
      <c r="D1893" s="5" t="s">
        <v>5164</v>
      </c>
      <c r="E1893" s="5" t="s">
        <v>5165</v>
      </c>
      <c r="F1893" s="5" t="s">
        <v>16</v>
      </c>
      <c r="G1893" s="5" t="s">
        <v>3636</v>
      </c>
      <c r="H1893" s="5" t="s">
        <v>26</v>
      </c>
      <c r="I1893" s="6" t="n">
        <v>34851</v>
      </c>
      <c r="J1893" s="5" t="s">
        <v>19</v>
      </c>
      <c r="K1893" s="5" t="s">
        <v>20</v>
      </c>
      <c r="L1893" s="7" t="s">
        <v>5166</v>
      </c>
    </row>
    <row r="1894" customFormat="false" ht="13.35" hidden="false" customHeight="true" outlineLevel="0" collapsed="false">
      <c r="A1894" s="2" t="str">
        <f aca="false">HYPERLINK("https://www.fabsurplus.com/sdi_catalog/salesItemDetails.do?id=102570")</f>
        <v>https://www.fabsurplus.com/sdi_catalog/salesItemDetails.do?id=102570</v>
      </c>
      <c r="B1894" s="2" t="s">
        <v>5167</v>
      </c>
      <c r="C1894" s="2" t="s">
        <v>5168</v>
      </c>
      <c r="D1894" s="2" t="s">
        <v>5169</v>
      </c>
      <c r="E1894" s="2" t="s">
        <v>5170</v>
      </c>
      <c r="F1894" s="2" t="s">
        <v>16</v>
      </c>
      <c r="G1894" s="2"/>
      <c r="H1894" s="2"/>
      <c r="I1894" s="2"/>
      <c r="J1894" s="2" t="s">
        <v>47</v>
      </c>
      <c r="K1894" s="2"/>
      <c r="L1894" s="2"/>
    </row>
    <row r="1895" customFormat="false" ht="13.35" hidden="false" customHeight="true" outlineLevel="0" collapsed="false">
      <c r="A1895" s="5" t="str">
        <f aca="false">HYPERLINK("https://www.fabsurplus.com/sdi_catalog/salesItemDetails.do?id=102571")</f>
        <v>https://www.fabsurplus.com/sdi_catalog/salesItemDetails.do?id=102571</v>
      </c>
      <c r="B1895" s="5" t="s">
        <v>5171</v>
      </c>
      <c r="C1895" s="5" t="s">
        <v>5168</v>
      </c>
      <c r="D1895" s="5" t="s">
        <v>5172</v>
      </c>
      <c r="E1895" s="5" t="s">
        <v>1934</v>
      </c>
      <c r="F1895" s="5" t="s">
        <v>16</v>
      </c>
      <c r="G1895" s="5"/>
      <c r="H1895" s="5"/>
      <c r="I1895" s="5"/>
      <c r="J1895" s="5" t="s">
        <v>47</v>
      </c>
      <c r="K1895" s="5"/>
      <c r="L1895" s="5"/>
    </row>
    <row r="1896" customFormat="false" ht="13.35" hidden="false" customHeight="true" outlineLevel="0" collapsed="false">
      <c r="A1896" s="2" t="str">
        <f aca="false">HYPERLINK("https://www.fabsurplus.com/sdi_catalog/salesItemDetails.do?id=101975")</f>
        <v>https://www.fabsurplus.com/sdi_catalog/salesItemDetails.do?id=101975</v>
      </c>
      <c r="B1896" s="2" t="s">
        <v>5173</v>
      </c>
      <c r="C1896" s="2" t="s">
        <v>5168</v>
      </c>
      <c r="D1896" s="2" t="s">
        <v>5174</v>
      </c>
      <c r="E1896" s="2" t="s">
        <v>4937</v>
      </c>
      <c r="F1896" s="2" t="s">
        <v>16</v>
      </c>
      <c r="G1896" s="2" t="s">
        <v>658</v>
      </c>
      <c r="H1896" s="2"/>
      <c r="I1896" s="2"/>
      <c r="J1896" s="2" t="s">
        <v>19</v>
      </c>
      <c r="K1896" s="2"/>
      <c r="L1896" s="2" t="s">
        <v>161</v>
      </c>
    </row>
    <row r="1897" customFormat="false" ht="13.35" hidden="false" customHeight="true" outlineLevel="0" collapsed="false">
      <c r="A1897" s="2" t="str">
        <f aca="false">HYPERLINK("https://www.fabsurplus.com/sdi_catalog/salesItemDetails.do?id=102638")</f>
        <v>https://www.fabsurplus.com/sdi_catalog/salesItemDetails.do?id=102638</v>
      </c>
      <c r="B1897" s="2" t="s">
        <v>5175</v>
      </c>
      <c r="C1897" s="2" t="s">
        <v>5168</v>
      </c>
      <c r="D1897" s="2" t="s">
        <v>5176</v>
      </c>
      <c r="E1897" s="2" t="s">
        <v>5177</v>
      </c>
      <c r="F1897" s="2" t="s">
        <v>16</v>
      </c>
      <c r="G1897" s="2" t="s">
        <v>149</v>
      </c>
      <c r="H1897" s="2" t="s">
        <v>26</v>
      </c>
      <c r="I1897" s="2"/>
      <c r="J1897" s="2" t="s">
        <v>19</v>
      </c>
      <c r="K1897" s="2" t="s">
        <v>20</v>
      </c>
      <c r="L1897" s="2" t="s">
        <v>5178</v>
      </c>
    </row>
    <row r="1898" customFormat="false" ht="13.35" hidden="false" customHeight="true" outlineLevel="0" collapsed="false">
      <c r="A1898" s="5" t="str">
        <f aca="false">HYPERLINK("https://www.fabsurplus.com/sdi_catalog/salesItemDetails.do?id=102639")</f>
        <v>https://www.fabsurplus.com/sdi_catalog/salesItemDetails.do?id=102639</v>
      </c>
      <c r="B1898" s="5" t="s">
        <v>5179</v>
      </c>
      <c r="C1898" s="5" t="s">
        <v>5168</v>
      </c>
      <c r="D1898" s="5" t="s">
        <v>5176</v>
      </c>
      <c r="E1898" s="5" t="s">
        <v>5177</v>
      </c>
      <c r="F1898" s="5" t="s">
        <v>16</v>
      </c>
      <c r="G1898" s="5" t="s">
        <v>149</v>
      </c>
      <c r="H1898" s="5" t="s">
        <v>26</v>
      </c>
      <c r="I1898" s="5"/>
      <c r="J1898" s="5" t="s">
        <v>19</v>
      </c>
      <c r="K1898" s="5" t="s">
        <v>20</v>
      </c>
      <c r="L1898" s="5" t="s">
        <v>5178</v>
      </c>
    </row>
    <row r="1899" customFormat="false" ht="13.35" hidden="false" customHeight="true" outlineLevel="0" collapsed="false">
      <c r="A1899" s="2" t="str">
        <f aca="false">HYPERLINK("https://www.fabsurplus.com/sdi_catalog/salesItemDetails.do?id=87492")</f>
        <v>https://www.fabsurplus.com/sdi_catalog/salesItemDetails.do?id=87492</v>
      </c>
      <c r="B1899" s="2" t="s">
        <v>5180</v>
      </c>
      <c r="C1899" s="2" t="s">
        <v>5181</v>
      </c>
      <c r="D1899" s="2" t="s">
        <v>5182</v>
      </c>
      <c r="E1899" s="2" t="s">
        <v>5183</v>
      </c>
      <c r="F1899" s="2" t="s">
        <v>16</v>
      </c>
      <c r="G1899" s="2" t="s">
        <v>493</v>
      </c>
      <c r="H1899" s="2" t="s">
        <v>18</v>
      </c>
      <c r="I1899" s="2"/>
      <c r="J1899" s="2" t="s">
        <v>19</v>
      </c>
      <c r="K1899" s="2" t="s">
        <v>20</v>
      </c>
      <c r="L1899" s="4" t="s">
        <v>5184</v>
      </c>
    </row>
    <row r="1900" customFormat="false" ht="13.35" hidden="false" customHeight="true" outlineLevel="0" collapsed="false">
      <c r="A1900" s="2" t="str">
        <f aca="false">HYPERLINK("https://www.fabsurplus.com/sdi_catalog/salesItemDetails.do?id=96014")</f>
        <v>https://www.fabsurplus.com/sdi_catalog/salesItemDetails.do?id=96014</v>
      </c>
      <c r="B1900" s="2" t="s">
        <v>5185</v>
      </c>
      <c r="C1900" s="2" t="s">
        <v>5168</v>
      </c>
      <c r="D1900" s="2" t="s">
        <v>5186</v>
      </c>
      <c r="E1900" s="2" t="s">
        <v>1934</v>
      </c>
      <c r="F1900" s="2" t="s">
        <v>16</v>
      </c>
      <c r="G1900" s="2"/>
      <c r="H1900" s="2"/>
      <c r="I1900" s="2"/>
      <c r="J1900" s="2" t="s">
        <v>19</v>
      </c>
      <c r="K1900" s="2"/>
      <c r="L1900" s="4" t="s">
        <v>209</v>
      </c>
    </row>
    <row r="1901" customFormat="false" ht="13.35" hidden="false" customHeight="true" outlineLevel="0" collapsed="false">
      <c r="A1901" s="5" t="str">
        <f aca="false">HYPERLINK("https://www.fabsurplus.com/sdi_catalog/salesItemDetails.do?id=91538")</f>
        <v>https://www.fabsurplus.com/sdi_catalog/salesItemDetails.do?id=91538</v>
      </c>
      <c r="B1901" s="5" t="s">
        <v>5187</v>
      </c>
      <c r="C1901" s="5" t="s">
        <v>5181</v>
      </c>
      <c r="D1901" s="5" t="s">
        <v>5188</v>
      </c>
      <c r="E1901" s="5" t="s">
        <v>5189</v>
      </c>
      <c r="F1901" s="5" t="s">
        <v>16</v>
      </c>
      <c r="G1901" s="5" t="s">
        <v>1121</v>
      </c>
      <c r="H1901" s="5"/>
      <c r="I1901" s="6" t="n">
        <v>34851</v>
      </c>
      <c r="J1901" s="5" t="s">
        <v>19</v>
      </c>
      <c r="K1901" s="5"/>
      <c r="L1901" s="5" t="s">
        <v>112</v>
      </c>
    </row>
    <row r="1902" customFormat="false" ht="13.35" hidden="false" customHeight="true" outlineLevel="0" collapsed="false">
      <c r="A1902" s="5" t="str">
        <f aca="false">HYPERLINK("https://www.fabsurplus.com/sdi_catalog/salesItemDetails.do?id=96015")</f>
        <v>https://www.fabsurplus.com/sdi_catalog/salesItemDetails.do?id=96015</v>
      </c>
      <c r="B1902" s="5" t="s">
        <v>5190</v>
      </c>
      <c r="C1902" s="5" t="s">
        <v>5181</v>
      </c>
      <c r="D1902" s="5" t="s">
        <v>5191</v>
      </c>
      <c r="E1902" s="5" t="s">
        <v>1934</v>
      </c>
      <c r="F1902" s="5" t="s">
        <v>16</v>
      </c>
      <c r="G1902" s="5"/>
      <c r="H1902" s="5"/>
      <c r="I1902" s="5"/>
      <c r="J1902" s="5" t="s">
        <v>19</v>
      </c>
      <c r="K1902" s="5"/>
      <c r="L1902" s="7" t="s">
        <v>209</v>
      </c>
    </row>
    <row r="1903" customFormat="false" ht="13.35" hidden="false" customHeight="true" outlineLevel="0" collapsed="false">
      <c r="A1903" s="2" t="str">
        <f aca="false">HYPERLINK("https://www.fabsurplus.com/sdi_catalog/salesItemDetails.do?id=96016")</f>
        <v>https://www.fabsurplus.com/sdi_catalog/salesItemDetails.do?id=96016</v>
      </c>
      <c r="B1903" s="2" t="s">
        <v>5192</v>
      </c>
      <c r="C1903" s="2" t="s">
        <v>5181</v>
      </c>
      <c r="D1903" s="2" t="s">
        <v>5193</v>
      </c>
      <c r="E1903" s="2" t="s">
        <v>1934</v>
      </c>
      <c r="F1903" s="2" t="s">
        <v>16</v>
      </c>
      <c r="G1903" s="2"/>
      <c r="H1903" s="2"/>
      <c r="I1903" s="2"/>
      <c r="J1903" s="2" t="s">
        <v>19</v>
      </c>
      <c r="K1903" s="2"/>
      <c r="L1903" s="4" t="s">
        <v>209</v>
      </c>
    </row>
    <row r="1904" customFormat="false" ht="13.35" hidden="false" customHeight="true" outlineLevel="0" collapsed="false">
      <c r="A1904" s="2" t="str">
        <f aca="false">HYPERLINK("https://www.fabsurplus.com/sdi_catalog/salesItemDetails.do?id=102839")</f>
        <v>https://www.fabsurplus.com/sdi_catalog/salesItemDetails.do?id=102839</v>
      </c>
      <c r="B1904" s="2" t="s">
        <v>5194</v>
      </c>
      <c r="C1904" s="2" t="s">
        <v>5168</v>
      </c>
      <c r="D1904" s="2" t="s">
        <v>5195</v>
      </c>
      <c r="E1904" s="2" t="s">
        <v>1928</v>
      </c>
      <c r="F1904" s="2" t="s">
        <v>16</v>
      </c>
      <c r="G1904" s="2" t="s">
        <v>17</v>
      </c>
      <c r="H1904" s="2" t="s">
        <v>26</v>
      </c>
      <c r="I1904" s="2"/>
      <c r="J1904" s="2" t="s">
        <v>19</v>
      </c>
      <c r="K1904" s="2" t="s">
        <v>20</v>
      </c>
      <c r="L1904" s="4" t="s">
        <v>5196</v>
      </c>
    </row>
    <row r="1905" customFormat="false" ht="13.35" hidden="false" customHeight="true" outlineLevel="0" collapsed="false">
      <c r="A1905" s="2" t="str">
        <f aca="false">HYPERLINK("https://www.fabsurplus.com/sdi_catalog/salesItemDetails.do?id=91539")</f>
        <v>https://www.fabsurplus.com/sdi_catalog/salesItemDetails.do?id=91539</v>
      </c>
      <c r="B1905" s="2" t="s">
        <v>5197</v>
      </c>
      <c r="C1905" s="2" t="s">
        <v>5181</v>
      </c>
      <c r="D1905" s="2" t="s">
        <v>5198</v>
      </c>
      <c r="E1905" s="2" t="s">
        <v>4967</v>
      </c>
      <c r="F1905" s="2" t="s">
        <v>16</v>
      </c>
      <c r="G1905" s="2" t="s">
        <v>5199</v>
      </c>
      <c r="H1905" s="2" t="s">
        <v>26</v>
      </c>
      <c r="I1905" s="2"/>
      <c r="J1905" s="2" t="s">
        <v>19</v>
      </c>
      <c r="K1905" s="2" t="s">
        <v>20</v>
      </c>
      <c r="L1905" s="4" t="s">
        <v>3682</v>
      </c>
    </row>
    <row r="1906" customFormat="false" ht="13.35" hidden="false" customHeight="true" outlineLevel="0" collapsed="false">
      <c r="A1906" s="5" t="str">
        <f aca="false">HYPERLINK("https://www.fabsurplus.com/sdi_catalog/salesItemDetails.do?id=100040")</f>
        <v>https://www.fabsurplus.com/sdi_catalog/salesItemDetails.do?id=100040</v>
      </c>
      <c r="B1906" s="5" t="s">
        <v>5200</v>
      </c>
      <c r="C1906" s="5" t="s">
        <v>5168</v>
      </c>
      <c r="D1906" s="5" t="s">
        <v>5201</v>
      </c>
      <c r="E1906" s="5" t="s">
        <v>5202</v>
      </c>
      <c r="F1906" s="5" t="s">
        <v>16</v>
      </c>
      <c r="G1906" s="5"/>
      <c r="H1906" s="5"/>
      <c r="I1906" s="5"/>
      <c r="J1906" s="5" t="s">
        <v>19</v>
      </c>
      <c r="K1906" s="5"/>
      <c r="L1906" s="7" t="s">
        <v>439</v>
      </c>
    </row>
    <row r="1907" customFormat="false" ht="13.35" hidden="false" customHeight="true" outlineLevel="0" collapsed="false">
      <c r="A1907" s="5" t="str">
        <f aca="false">HYPERLINK("https://www.fabsurplus.com/sdi_catalog/salesItemDetails.do?id=91540")</f>
        <v>https://www.fabsurplus.com/sdi_catalog/salesItemDetails.do?id=91540</v>
      </c>
      <c r="B1907" s="5" t="s">
        <v>5203</v>
      </c>
      <c r="C1907" s="5" t="s">
        <v>5168</v>
      </c>
      <c r="D1907" s="5" t="s">
        <v>5204</v>
      </c>
      <c r="E1907" s="5" t="s">
        <v>5205</v>
      </c>
      <c r="F1907" s="5" t="s">
        <v>16</v>
      </c>
      <c r="G1907" s="5" t="s">
        <v>17</v>
      </c>
      <c r="H1907" s="5"/>
      <c r="I1907" s="5"/>
      <c r="J1907" s="5" t="s">
        <v>19</v>
      </c>
      <c r="K1907" s="5"/>
      <c r="L1907" s="5" t="s">
        <v>112</v>
      </c>
    </row>
    <row r="1908" customFormat="false" ht="13.35" hidden="false" customHeight="true" outlineLevel="0" collapsed="false">
      <c r="A1908" s="5" t="str">
        <f aca="false">HYPERLINK("https://www.fabsurplus.com/sdi_catalog/salesItemDetails.do?id=91543")</f>
        <v>https://www.fabsurplus.com/sdi_catalog/salesItemDetails.do?id=91543</v>
      </c>
      <c r="B1908" s="5" t="s">
        <v>5206</v>
      </c>
      <c r="C1908" s="5" t="s">
        <v>5168</v>
      </c>
      <c r="D1908" s="5" t="s">
        <v>5204</v>
      </c>
      <c r="E1908" s="5" t="s">
        <v>5207</v>
      </c>
      <c r="F1908" s="5" t="s">
        <v>16</v>
      </c>
      <c r="G1908" s="5" t="s">
        <v>17</v>
      </c>
      <c r="H1908" s="5"/>
      <c r="I1908" s="6" t="n">
        <v>38139</v>
      </c>
      <c r="J1908" s="5" t="s">
        <v>19</v>
      </c>
      <c r="K1908" s="5"/>
      <c r="L1908" s="5" t="s">
        <v>112</v>
      </c>
    </row>
    <row r="1909" customFormat="false" ht="13.35" hidden="false" customHeight="true" outlineLevel="0" collapsed="false">
      <c r="A1909" s="5" t="str">
        <f aca="false">HYPERLINK("https://www.fabsurplus.com/sdi_catalog/salesItemDetails.do?id=91541")</f>
        <v>https://www.fabsurplus.com/sdi_catalog/salesItemDetails.do?id=91541</v>
      </c>
      <c r="B1909" s="5" t="s">
        <v>5208</v>
      </c>
      <c r="C1909" s="5" t="s">
        <v>5168</v>
      </c>
      <c r="D1909" s="5" t="s">
        <v>5204</v>
      </c>
      <c r="E1909" s="5" t="s">
        <v>5209</v>
      </c>
      <c r="F1909" s="5" t="s">
        <v>16</v>
      </c>
      <c r="G1909" s="5" t="s">
        <v>17</v>
      </c>
      <c r="H1909" s="5"/>
      <c r="I1909" s="5"/>
      <c r="J1909" s="5" t="s">
        <v>19</v>
      </c>
      <c r="K1909" s="5"/>
      <c r="L1909" s="5" t="s">
        <v>112</v>
      </c>
    </row>
    <row r="1910" customFormat="false" ht="13.35" hidden="false" customHeight="true" outlineLevel="0" collapsed="false">
      <c r="A1910" s="5" t="str">
        <f aca="false">HYPERLINK("https://www.fabsurplus.com/sdi_catalog/salesItemDetails.do?id=91542")</f>
        <v>https://www.fabsurplus.com/sdi_catalog/salesItemDetails.do?id=91542</v>
      </c>
      <c r="B1910" s="5" t="s">
        <v>5210</v>
      </c>
      <c r="C1910" s="5" t="s">
        <v>5168</v>
      </c>
      <c r="D1910" s="5" t="s">
        <v>5204</v>
      </c>
      <c r="E1910" s="5" t="s">
        <v>5209</v>
      </c>
      <c r="F1910" s="5" t="s">
        <v>16</v>
      </c>
      <c r="G1910" s="5" t="s">
        <v>17</v>
      </c>
      <c r="H1910" s="5"/>
      <c r="I1910" s="6" t="n">
        <v>37773</v>
      </c>
      <c r="J1910" s="5" t="s">
        <v>19</v>
      </c>
      <c r="K1910" s="5"/>
      <c r="L1910" s="5" t="s">
        <v>112</v>
      </c>
    </row>
    <row r="1911" customFormat="false" ht="13.35" hidden="false" customHeight="true" outlineLevel="0" collapsed="false">
      <c r="A1911" s="2" t="str">
        <f aca="false">HYPERLINK("https://www.fabsurplus.com/sdi_catalog/salesItemDetails.do?id=91544")</f>
        <v>https://www.fabsurplus.com/sdi_catalog/salesItemDetails.do?id=91544</v>
      </c>
      <c r="B1911" s="2" t="s">
        <v>5211</v>
      </c>
      <c r="C1911" s="2" t="s">
        <v>5168</v>
      </c>
      <c r="D1911" s="2" t="s">
        <v>5212</v>
      </c>
      <c r="E1911" s="2" t="s">
        <v>5213</v>
      </c>
      <c r="F1911" s="2" t="s">
        <v>16</v>
      </c>
      <c r="G1911" s="2" t="s">
        <v>17</v>
      </c>
      <c r="H1911" s="2"/>
      <c r="I1911" s="3" t="n">
        <v>37773</v>
      </c>
      <c r="J1911" s="2" t="s">
        <v>19</v>
      </c>
      <c r="K1911" s="2"/>
      <c r="L1911" s="2" t="s">
        <v>112</v>
      </c>
    </row>
    <row r="1912" customFormat="false" ht="13.35" hidden="false" customHeight="true" outlineLevel="0" collapsed="false">
      <c r="A1912" s="5" t="str">
        <f aca="false">HYPERLINK("https://www.fabsurplus.com/sdi_catalog/salesItemDetails.do?id=98970")</f>
        <v>https://www.fabsurplus.com/sdi_catalog/salesItemDetails.do?id=98970</v>
      </c>
      <c r="B1912" s="5" t="s">
        <v>5214</v>
      </c>
      <c r="C1912" s="5" t="s">
        <v>5168</v>
      </c>
      <c r="D1912" s="5" t="s">
        <v>5212</v>
      </c>
      <c r="E1912" s="5" t="s">
        <v>5213</v>
      </c>
      <c r="F1912" s="5" t="s">
        <v>16</v>
      </c>
      <c r="G1912" s="5" t="s">
        <v>17</v>
      </c>
      <c r="H1912" s="5"/>
      <c r="I1912" s="6" t="n">
        <v>37773</v>
      </c>
      <c r="J1912" s="5" t="s">
        <v>19</v>
      </c>
      <c r="K1912" s="5"/>
      <c r="L1912" s="5" t="s">
        <v>112</v>
      </c>
    </row>
    <row r="1913" customFormat="false" ht="13.35" hidden="false" customHeight="true" outlineLevel="0" collapsed="false">
      <c r="A1913" s="5" t="str">
        <f aca="false">HYPERLINK("https://www.fabsurplus.com/sdi_catalog/salesItemDetails.do?id=91545")</f>
        <v>https://www.fabsurplus.com/sdi_catalog/salesItemDetails.do?id=91545</v>
      </c>
      <c r="B1913" s="5" t="s">
        <v>5215</v>
      </c>
      <c r="C1913" s="5" t="s">
        <v>5168</v>
      </c>
      <c r="D1913" s="5" t="s">
        <v>5216</v>
      </c>
      <c r="E1913" s="5" t="s">
        <v>5205</v>
      </c>
      <c r="F1913" s="5" t="s">
        <v>16</v>
      </c>
      <c r="G1913" s="5" t="s">
        <v>17</v>
      </c>
      <c r="H1913" s="5"/>
      <c r="I1913" s="6" t="n">
        <v>37408</v>
      </c>
      <c r="J1913" s="5" t="s">
        <v>19</v>
      </c>
      <c r="K1913" s="5"/>
      <c r="L1913" s="5" t="s">
        <v>112</v>
      </c>
    </row>
    <row r="1914" customFormat="false" ht="13.35" hidden="false" customHeight="true" outlineLevel="0" collapsed="false">
      <c r="A1914" s="2" t="str">
        <f aca="false">HYPERLINK("https://www.fabsurplus.com/sdi_catalog/salesItemDetails.do?id=91546")</f>
        <v>https://www.fabsurplus.com/sdi_catalog/salesItemDetails.do?id=91546</v>
      </c>
      <c r="B1914" s="2" t="s">
        <v>5217</v>
      </c>
      <c r="C1914" s="2" t="s">
        <v>5168</v>
      </c>
      <c r="D1914" s="2" t="s">
        <v>5218</v>
      </c>
      <c r="E1914" s="2" t="s">
        <v>5219</v>
      </c>
      <c r="F1914" s="2" t="s">
        <v>16</v>
      </c>
      <c r="G1914" s="2" t="s">
        <v>17</v>
      </c>
      <c r="H1914" s="2"/>
      <c r="I1914" s="3" t="n">
        <v>38504</v>
      </c>
      <c r="J1914" s="2" t="s">
        <v>19</v>
      </c>
      <c r="K1914" s="2"/>
      <c r="L1914" s="2" t="s">
        <v>112</v>
      </c>
    </row>
    <row r="1915" customFormat="false" ht="13.35" hidden="false" customHeight="true" outlineLevel="0" collapsed="false">
      <c r="A1915" s="2" t="str">
        <f aca="false">HYPERLINK("https://www.fabsurplus.com/sdi_catalog/salesItemDetails.do?id=91547")</f>
        <v>https://www.fabsurplus.com/sdi_catalog/salesItemDetails.do?id=91547</v>
      </c>
      <c r="B1915" s="2" t="s">
        <v>5220</v>
      </c>
      <c r="C1915" s="2" t="s">
        <v>5168</v>
      </c>
      <c r="D1915" s="2" t="s">
        <v>5218</v>
      </c>
      <c r="E1915" s="2" t="s">
        <v>5219</v>
      </c>
      <c r="F1915" s="2" t="s">
        <v>16</v>
      </c>
      <c r="G1915" s="2" t="s">
        <v>17</v>
      </c>
      <c r="H1915" s="2"/>
      <c r="I1915" s="3" t="n">
        <v>38504</v>
      </c>
      <c r="J1915" s="2" t="s">
        <v>19</v>
      </c>
      <c r="K1915" s="2"/>
      <c r="L1915" s="2" t="s">
        <v>112</v>
      </c>
    </row>
    <row r="1916" customFormat="false" ht="13.35" hidden="false" customHeight="true" outlineLevel="0" collapsed="false">
      <c r="A1916" s="5" t="str">
        <f aca="false">HYPERLINK("https://www.fabsurplus.com/sdi_catalog/salesItemDetails.do?id=91548")</f>
        <v>https://www.fabsurplus.com/sdi_catalog/salesItemDetails.do?id=91548</v>
      </c>
      <c r="B1916" s="5" t="s">
        <v>5221</v>
      </c>
      <c r="C1916" s="5" t="s">
        <v>5168</v>
      </c>
      <c r="D1916" s="5" t="s">
        <v>5218</v>
      </c>
      <c r="E1916" s="5" t="s">
        <v>5219</v>
      </c>
      <c r="F1916" s="5" t="s">
        <v>16</v>
      </c>
      <c r="G1916" s="5" t="s">
        <v>17</v>
      </c>
      <c r="H1916" s="5"/>
      <c r="I1916" s="6" t="n">
        <v>38504</v>
      </c>
      <c r="J1916" s="5" t="s">
        <v>19</v>
      </c>
      <c r="K1916" s="5"/>
      <c r="L1916" s="5" t="s">
        <v>112</v>
      </c>
    </row>
    <row r="1917" customFormat="false" ht="13.35" hidden="false" customHeight="true" outlineLevel="0" collapsed="false">
      <c r="A1917" s="2" t="str">
        <f aca="false">HYPERLINK("https://www.fabsurplus.com/sdi_catalog/salesItemDetails.do?id=91549")</f>
        <v>https://www.fabsurplus.com/sdi_catalog/salesItemDetails.do?id=91549</v>
      </c>
      <c r="B1917" s="2" t="s">
        <v>5222</v>
      </c>
      <c r="C1917" s="2" t="s">
        <v>5168</v>
      </c>
      <c r="D1917" s="2" t="s">
        <v>5218</v>
      </c>
      <c r="E1917" s="2" t="s">
        <v>5219</v>
      </c>
      <c r="F1917" s="2" t="s">
        <v>16</v>
      </c>
      <c r="G1917" s="2" t="s">
        <v>17</v>
      </c>
      <c r="H1917" s="2"/>
      <c r="I1917" s="3" t="n">
        <v>38869</v>
      </c>
      <c r="J1917" s="2" t="s">
        <v>19</v>
      </c>
      <c r="K1917" s="2"/>
      <c r="L1917" s="2" t="s">
        <v>112</v>
      </c>
    </row>
    <row r="1918" customFormat="false" ht="13.35" hidden="false" customHeight="true" outlineLevel="0" collapsed="false">
      <c r="A1918" s="5" t="str">
        <f aca="false">HYPERLINK("https://www.fabsurplus.com/sdi_catalog/salesItemDetails.do?id=91550")</f>
        <v>https://www.fabsurplus.com/sdi_catalog/salesItemDetails.do?id=91550</v>
      </c>
      <c r="B1918" s="5" t="s">
        <v>5223</v>
      </c>
      <c r="C1918" s="5" t="s">
        <v>5168</v>
      </c>
      <c r="D1918" s="5" t="s">
        <v>5218</v>
      </c>
      <c r="E1918" s="5" t="s">
        <v>5224</v>
      </c>
      <c r="F1918" s="5" t="s">
        <v>16</v>
      </c>
      <c r="G1918" s="5" t="s">
        <v>17</v>
      </c>
      <c r="H1918" s="5"/>
      <c r="I1918" s="6" t="n">
        <v>39234</v>
      </c>
      <c r="J1918" s="5" t="s">
        <v>19</v>
      </c>
      <c r="K1918" s="5"/>
      <c r="L1918" s="5" t="s">
        <v>112</v>
      </c>
    </row>
    <row r="1919" customFormat="false" ht="13.35" hidden="false" customHeight="true" outlineLevel="0" collapsed="false">
      <c r="A1919" s="2" t="str">
        <f aca="false">HYPERLINK("https://www.fabsurplus.com/sdi_catalog/salesItemDetails.do?id=91551")</f>
        <v>https://www.fabsurplus.com/sdi_catalog/salesItemDetails.do?id=91551</v>
      </c>
      <c r="B1919" s="2" t="s">
        <v>5225</v>
      </c>
      <c r="C1919" s="2" t="s">
        <v>5168</v>
      </c>
      <c r="D1919" s="2" t="s">
        <v>5218</v>
      </c>
      <c r="E1919" s="2" t="s">
        <v>5224</v>
      </c>
      <c r="F1919" s="2" t="s">
        <v>16</v>
      </c>
      <c r="G1919" s="2" t="s">
        <v>17</v>
      </c>
      <c r="H1919" s="2"/>
      <c r="I1919" s="3" t="n">
        <v>39234</v>
      </c>
      <c r="J1919" s="2" t="s">
        <v>19</v>
      </c>
      <c r="K1919" s="2"/>
      <c r="L1919" s="2" t="s">
        <v>112</v>
      </c>
    </row>
    <row r="1920" customFormat="false" ht="13.35" hidden="false" customHeight="true" outlineLevel="0" collapsed="false">
      <c r="A1920" s="5" t="str">
        <f aca="false">HYPERLINK("https://www.fabsurplus.com/sdi_catalog/salesItemDetails.do?id=97870")</f>
        <v>https://www.fabsurplus.com/sdi_catalog/salesItemDetails.do?id=97870</v>
      </c>
      <c r="B1920" s="5" t="s">
        <v>5226</v>
      </c>
      <c r="C1920" s="5" t="s">
        <v>5168</v>
      </c>
      <c r="D1920" s="5" t="s">
        <v>5227</v>
      </c>
      <c r="E1920" s="5" t="s">
        <v>1934</v>
      </c>
      <c r="F1920" s="5" t="s">
        <v>16</v>
      </c>
      <c r="G1920" s="5"/>
      <c r="H1920" s="5"/>
      <c r="I1920" s="5"/>
      <c r="J1920" s="5" t="s">
        <v>19</v>
      </c>
      <c r="K1920" s="5"/>
      <c r="L1920" s="5"/>
    </row>
    <row r="1921" customFormat="false" ht="13.35" hidden="false" customHeight="true" outlineLevel="0" collapsed="false">
      <c r="A1921" s="5" t="str">
        <f aca="false">HYPERLINK("https://www.fabsurplus.com/sdi_catalog/salesItemDetails.do?id=96017")</f>
        <v>https://www.fabsurplus.com/sdi_catalog/salesItemDetails.do?id=96017</v>
      </c>
      <c r="B1921" s="5" t="s">
        <v>5228</v>
      </c>
      <c r="C1921" s="5" t="s">
        <v>5168</v>
      </c>
      <c r="D1921" s="5" t="s">
        <v>5229</v>
      </c>
      <c r="E1921" s="5" t="s">
        <v>1934</v>
      </c>
      <c r="F1921" s="5" t="s">
        <v>1988</v>
      </c>
      <c r="G1921" s="5" t="s">
        <v>499</v>
      </c>
      <c r="H1921" s="5"/>
      <c r="I1921" s="5"/>
      <c r="J1921" s="5" t="s">
        <v>19</v>
      </c>
      <c r="K1921" s="5"/>
      <c r="L1921" s="7" t="s">
        <v>209</v>
      </c>
    </row>
    <row r="1922" customFormat="false" ht="13.35" hidden="false" customHeight="true" outlineLevel="0" collapsed="false">
      <c r="A1922" s="2" t="str">
        <f aca="false">HYPERLINK("https://www.fabsurplus.com/sdi_catalog/salesItemDetails.do?id=97871")</f>
        <v>https://www.fabsurplus.com/sdi_catalog/salesItemDetails.do?id=97871</v>
      </c>
      <c r="B1922" s="2" t="s">
        <v>5230</v>
      </c>
      <c r="C1922" s="2" t="s">
        <v>5168</v>
      </c>
      <c r="D1922" s="2" t="s">
        <v>5231</v>
      </c>
      <c r="E1922" s="2" t="s">
        <v>1934</v>
      </c>
      <c r="F1922" s="2" t="s">
        <v>16</v>
      </c>
      <c r="G1922" s="2"/>
      <c r="H1922" s="2"/>
      <c r="I1922" s="2"/>
      <c r="J1922" s="2" t="s">
        <v>19</v>
      </c>
      <c r="K1922" s="2"/>
      <c r="L1922" s="2"/>
    </row>
    <row r="1923" customFormat="false" ht="13.35" hidden="false" customHeight="true" outlineLevel="0" collapsed="false">
      <c r="A1923" s="2" t="str">
        <f aca="false">HYPERLINK("https://www.fabsurplus.com/sdi_catalog/salesItemDetails.do?id=100041")</f>
        <v>https://www.fabsurplus.com/sdi_catalog/salesItemDetails.do?id=100041</v>
      </c>
      <c r="B1923" s="2" t="s">
        <v>5232</v>
      </c>
      <c r="C1923" s="2" t="s">
        <v>5168</v>
      </c>
      <c r="D1923" s="2" t="s">
        <v>5233</v>
      </c>
      <c r="E1923" s="2" t="s">
        <v>5234</v>
      </c>
      <c r="F1923" s="2" t="s">
        <v>16</v>
      </c>
      <c r="G1923" s="2"/>
      <c r="H1923" s="2"/>
      <c r="I1923" s="2"/>
      <c r="J1923" s="2" t="s">
        <v>19</v>
      </c>
      <c r="K1923" s="2"/>
      <c r="L1923" s="4" t="s">
        <v>439</v>
      </c>
    </row>
    <row r="1924" customFormat="false" ht="13.35" hidden="false" customHeight="true" outlineLevel="0" collapsed="false">
      <c r="A1924" s="5" t="str">
        <f aca="false">HYPERLINK("https://www.fabsurplus.com/sdi_catalog/salesItemDetails.do?id=97872")</f>
        <v>https://www.fabsurplus.com/sdi_catalog/salesItemDetails.do?id=97872</v>
      </c>
      <c r="B1924" s="5" t="s">
        <v>5235</v>
      </c>
      <c r="C1924" s="5" t="s">
        <v>5168</v>
      </c>
      <c r="D1924" s="5" t="s">
        <v>5236</v>
      </c>
      <c r="E1924" s="5" t="s">
        <v>1934</v>
      </c>
      <c r="F1924" s="5" t="s">
        <v>46</v>
      </c>
      <c r="G1924" s="5"/>
      <c r="H1924" s="5"/>
      <c r="I1924" s="5"/>
      <c r="J1924" s="5" t="s">
        <v>19</v>
      </c>
      <c r="K1924" s="5"/>
      <c r="L1924" s="5"/>
    </row>
    <row r="1925" customFormat="false" ht="13.35" hidden="false" customHeight="true" outlineLevel="0" collapsed="false">
      <c r="A1925" s="5" t="str">
        <f aca="false">HYPERLINK("https://www.fabsurplus.com/sdi_catalog/salesItemDetails.do?id=102560")</f>
        <v>https://www.fabsurplus.com/sdi_catalog/salesItemDetails.do?id=102560</v>
      </c>
      <c r="B1925" s="5" t="s">
        <v>5237</v>
      </c>
      <c r="C1925" s="5" t="s">
        <v>5238</v>
      </c>
      <c r="D1925" s="5" t="s">
        <v>5239</v>
      </c>
      <c r="E1925" s="5" t="s">
        <v>5240</v>
      </c>
      <c r="F1925" s="5" t="s">
        <v>16</v>
      </c>
      <c r="G1925" s="5" t="s">
        <v>862</v>
      </c>
      <c r="H1925" s="5"/>
      <c r="I1925" s="5"/>
      <c r="J1925" s="5" t="s">
        <v>47</v>
      </c>
      <c r="K1925" s="5"/>
      <c r="L1925" s="5"/>
    </row>
    <row r="1926" customFormat="false" ht="13.35" hidden="false" customHeight="true" outlineLevel="0" collapsed="false">
      <c r="A1926" s="2" t="str">
        <f aca="false">HYPERLINK("https://www.fabsurplus.com/sdi_catalog/salesItemDetails.do?id=102561")</f>
        <v>https://www.fabsurplus.com/sdi_catalog/salesItemDetails.do?id=102561</v>
      </c>
      <c r="B1926" s="2" t="s">
        <v>5241</v>
      </c>
      <c r="C1926" s="2" t="s">
        <v>5238</v>
      </c>
      <c r="D1926" s="2" t="s">
        <v>5242</v>
      </c>
      <c r="E1926" s="2" t="s">
        <v>1934</v>
      </c>
      <c r="F1926" s="2" t="s">
        <v>16</v>
      </c>
      <c r="G1926" s="2" t="s">
        <v>5243</v>
      </c>
      <c r="H1926" s="2"/>
      <c r="I1926" s="2"/>
      <c r="J1926" s="2" t="s">
        <v>47</v>
      </c>
      <c r="K1926" s="2"/>
      <c r="L1926" s="2"/>
    </row>
    <row r="1927" customFormat="false" ht="13.35" hidden="false" customHeight="true" outlineLevel="0" collapsed="false">
      <c r="A1927" s="5" t="str">
        <f aca="false">HYPERLINK("https://www.fabsurplus.com/sdi_catalog/salesItemDetails.do?id=100992")</f>
        <v>https://www.fabsurplus.com/sdi_catalog/salesItemDetails.do?id=100992</v>
      </c>
      <c r="B1927" s="5" t="s">
        <v>5244</v>
      </c>
      <c r="C1927" s="5" t="s">
        <v>5245</v>
      </c>
      <c r="D1927" s="5" t="s">
        <v>5246</v>
      </c>
      <c r="E1927" s="5" t="s">
        <v>5247</v>
      </c>
      <c r="F1927" s="5" t="s">
        <v>16</v>
      </c>
      <c r="G1927" s="5"/>
      <c r="H1927" s="5" t="s">
        <v>26</v>
      </c>
      <c r="I1927" s="5"/>
      <c r="J1927" s="5" t="s">
        <v>19</v>
      </c>
      <c r="K1927" s="5" t="s">
        <v>20</v>
      </c>
      <c r="L1927" s="7" t="s">
        <v>5248</v>
      </c>
    </row>
    <row r="1928" customFormat="false" ht="13.35" hidden="false" customHeight="true" outlineLevel="0" collapsed="false">
      <c r="A1928" s="5" t="str">
        <f aca="false">HYPERLINK("https://www.fabsurplus.com/sdi_catalog/salesItemDetails.do?id=90178")</f>
        <v>https://www.fabsurplus.com/sdi_catalog/salesItemDetails.do?id=90178</v>
      </c>
      <c r="B1928" s="5" t="s">
        <v>5249</v>
      </c>
      <c r="C1928" s="5" t="s">
        <v>5250</v>
      </c>
      <c r="D1928" s="5" t="s">
        <v>5251</v>
      </c>
      <c r="E1928" s="5" t="s">
        <v>5252</v>
      </c>
      <c r="F1928" s="5" t="s">
        <v>125</v>
      </c>
      <c r="G1928" s="5" t="s">
        <v>138</v>
      </c>
      <c r="H1928" s="5"/>
      <c r="I1928" s="5"/>
      <c r="J1928" s="5" t="s">
        <v>19</v>
      </c>
      <c r="K1928" s="5"/>
      <c r="L1928" s="5" t="s">
        <v>2498</v>
      </c>
    </row>
    <row r="1929" customFormat="false" ht="13.35" hidden="false" customHeight="true" outlineLevel="0" collapsed="false">
      <c r="A1929" s="2" t="str">
        <f aca="false">HYPERLINK("https://www.fabsurplus.com/sdi_catalog/salesItemDetails.do?id=100042")</f>
        <v>https://www.fabsurplus.com/sdi_catalog/salesItemDetails.do?id=100042</v>
      </c>
      <c r="B1929" s="2" t="s">
        <v>5253</v>
      </c>
      <c r="C1929" s="2" t="s">
        <v>5254</v>
      </c>
      <c r="D1929" s="2" t="s">
        <v>5255</v>
      </c>
      <c r="E1929" s="2" t="s">
        <v>5256</v>
      </c>
      <c r="F1929" s="2" t="s">
        <v>16</v>
      </c>
      <c r="G1929" s="2"/>
      <c r="H1929" s="2"/>
      <c r="I1929" s="2"/>
      <c r="J1929" s="2" t="s">
        <v>19</v>
      </c>
      <c r="K1929" s="2"/>
      <c r="L1929" s="4" t="s">
        <v>439</v>
      </c>
    </row>
    <row r="1930" customFormat="false" ht="13.35" hidden="false" customHeight="true" outlineLevel="0" collapsed="false">
      <c r="A1930" s="5" t="str">
        <f aca="false">HYPERLINK("https://www.fabsurplus.com/sdi_catalog/salesItemDetails.do?id=100043")</f>
        <v>https://www.fabsurplus.com/sdi_catalog/salesItemDetails.do?id=100043</v>
      </c>
      <c r="B1930" s="5" t="s">
        <v>5257</v>
      </c>
      <c r="C1930" s="5" t="s">
        <v>5254</v>
      </c>
      <c r="D1930" s="5" t="s">
        <v>5255</v>
      </c>
      <c r="E1930" s="5" t="s">
        <v>5256</v>
      </c>
      <c r="F1930" s="5" t="s">
        <v>16</v>
      </c>
      <c r="G1930" s="5"/>
      <c r="H1930" s="5"/>
      <c r="I1930" s="5"/>
      <c r="J1930" s="5" t="s">
        <v>19</v>
      </c>
      <c r="K1930" s="5"/>
      <c r="L1930" s="7" t="s">
        <v>439</v>
      </c>
    </row>
    <row r="1931" customFormat="false" ht="13.35" hidden="false" customHeight="true" outlineLevel="0" collapsed="false">
      <c r="A1931" s="2" t="str">
        <f aca="false">HYPERLINK("https://www.fabsurplus.com/sdi_catalog/salesItemDetails.do?id=98419")</f>
        <v>https://www.fabsurplus.com/sdi_catalog/salesItemDetails.do?id=98419</v>
      </c>
      <c r="B1931" s="2" t="s">
        <v>5258</v>
      </c>
      <c r="C1931" s="2" t="s">
        <v>5259</v>
      </c>
      <c r="D1931" s="2" t="s">
        <v>5260</v>
      </c>
      <c r="E1931" s="2" t="s">
        <v>5261</v>
      </c>
      <c r="F1931" s="2" t="s">
        <v>16</v>
      </c>
      <c r="G1931" s="2" t="s">
        <v>493</v>
      </c>
      <c r="H1931" s="2"/>
      <c r="I1931" s="2"/>
      <c r="J1931" s="2" t="s">
        <v>19</v>
      </c>
      <c r="K1931" s="2"/>
      <c r="L1931" s="2" t="s">
        <v>893</v>
      </c>
    </row>
    <row r="1932" customFormat="false" ht="13.35" hidden="false" customHeight="true" outlineLevel="0" collapsed="false">
      <c r="A1932" s="5" t="str">
        <f aca="false">HYPERLINK("https://www.fabsurplus.com/sdi_catalog/salesItemDetails.do?id=91329")</f>
        <v>https://www.fabsurplus.com/sdi_catalog/salesItemDetails.do?id=91329</v>
      </c>
      <c r="B1932" s="5" t="s">
        <v>5262</v>
      </c>
      <c r="C1932" s="5" t="s">
        <v>5263</v>
      </c>
      <c r="D1932" s="5" t="s">
        <v>5264</v>
      </c>
      <c r="E1932" s="5" t="s">
        <v>5265</v>
      </c>
      <c r="F1932" s="5" t="s">
        <v>16</v>
      </c>
      <c r="G1932" s="5"/>
      <c r="H1932" s="5" t="s">
        <v>26</v>
      </c>
      <c r="I1932" s="5"/>
      <c r="J1932" s="5" t="s">
        <v>19</v>
      </c>
      <c r="K1932" s="5" t="s">
        <v>20</v>
      </c>
      <c r="L1932" s="7" t="s">
        <v>5266</v>
      </c>
    </row>
    <row r="1933" customFormat="false" ht="13.35" hidden="false" customHeight="true" outlineLevel="0" collapsed="false">
      <c r="A1933" s="5" t="str">
        <f aca="false">HYPERLINK("https://www.fabsurplus.com/sdi_catalog/salesItemDetails.do?id=99401")</f>
        <v>https://www.fabsurplus.com/sdi_catalog/salesItemDetails.do?id=99401</v>
      </c>
      <c r="B1933" s="5" t="s">
        <v>5267</v>
      </c>
      <c r="C1933" s="5" t="s">
        <v>5259</v>
      </c>
      <c r="D1933" s="5" t="s">
        <v>5268</v>
      </c>
      <c r="E1933" s="5" t="s">
        <v>5269</v>
      </c>
      <c r="F1933" s="5" t="s">
        <v>16</v>
      </c>
      <c r="G1933" s="5" t="s">
        <v>402</v>
      </c>
      <c r="H1933" s="5" t="s">
        <v>18</v>
      </c>
      <c r="I1933" s="6" t="n">
        <v>41061</v>
      </c>
      <c r="J1933" s="5" t="s">
        <v>19</v>
      </c>
      <c r="K1933" s="5" t="s">
        <v>20</v>
      </c>
      <c r="L1933" s="7" t="s">
        <v>5270</v>
      </c>
    </row>
    <row r="1934" customFormat="false" ht="13.35" hidden="false" customHeight="true" outlineLevel="0" collapsed="false">
      <c r="A1934" s="2" t="str">
        <f aca="false">HYPERLINK("https://www.fabsurplus.com/sdi_catalog/salesItemDetails.do?id=99399")</f>
        <v>https://www.fabsurplus.com/sdi_catalog/salesItemDetails.do?id=99399</v>
      </c>
      <c r="B1934" s="2" t="s">
        <v>5271</v>
      </c>
      <c r="C1934" s="2" t="s">
        <v>5259</v>
      </c>
      <c r="D1934" s="2" t="s">
        <v>5272</v>
      </c>
      <c r="E1934" s="2" t="s">
        <v>5273</v>
      </c>
      <c r="F1934" s="2" t="s">
        <v>16</v>
      </c>
      <c r="G1934" s="2"/>
      <c r="H1934" s="2" t="s">
        <v>592</v>
      </c>
      <c r="I1934" s="2"/>
      <c r="J1934" s="2" t="s">
        <v>19</v>
      </c>
      <c r="K1934" s="2" t="s">
        <v>20</v>
      </c>
      <c r="L1934" s="4" t="s">
        <v>5274</v>
      </c>
    </row>
    <row r="1935" customFormat="false" ht="13.35" hidden="false" customHeight="true" outlineLevel="0" collapsed="false">
      <c r="A1935" s="5" t="str">
        <f aca="false">HYPERLINK("https://www.fabsurplus.com/sdi_catalog/salesItemDetails.do?id=99398")</f>
        <v>https://www.fabsurplus.com/sdi_catalog/salesItemDetails.do?id=99398</v>
      </c>
      <c r="B1935" s="5" t="s">
        <v>5275</v>
      </c>
      <c r="C1935" s="5" t="s">
        <v>5259</v>
      </c>
      <c r="D1935" s="5" t="s">
        <v>5276</v>
      </c>
      <c r="E1935" s="5" t="s">
        <v>5277</v>
      </c>
      <c r="F1935" s="5" t="s">
        <v>16</v>
      </c>
      <c r="G1935" s="5"/>
      <c r="H1935" s="5" t="s">
        <v>26</v>
      </c>
      <c r="I1935" s="5"/>
      <c r="J1935" s="5" t="s">
        <v>19</v>
      </c>
      <c r="K1935" s="5" t="s">
        <v>20</v>
      </c>
      <c r="L1935" s="7" t="s">
        <v>3527</v>
      </c>
    </row>
    <row r="1936" customFormat="false" ht="13.35" hidden="false" customHeight="true" outlineLevel="0" collapsed="false">
      <c r="A1936" s="5" t="str">
        <f aca="false">HYPERLINK("https://www.fabsurplus.com/sdi_catalog/salesItemDetails.do?id=101347")</f>
        <v>https://www.fabsurplus.com/sdi_catalog/salesItemDetails.do?id=101347</v>
      </c>
      <c r="B1936" s="5" t="s">
        <v>5278</v>
      </c>
      <c r="C1936" s="5" t="s">
        <v>5259</v>
      </c>
      <c r="D1936" s="5" t="s">
        <v>5279</v>
      </c>
      <c r="E1936" s="5" t="s">
        <v>5280</v>
      </c>
      <c r="F1936" s="5" t="s">
        <v>16</v>
      </c>
      <c r="G1936" s="5" t="s">
        <v>2640</v>
      </c>
      <c r="H1936" s="5" t="s">
        <v>26</v>
      </c>
      <c r="I1936" s="6" t="n">
        <v>36586</v>
      </c>
      <c r="J1936" s="5" t="s">
        <v>19</v>
      </c>
      <c r="K1936" s="5" t="s">
        <v>20</v>
      </c>
      <c r="L1936" s="5" t="s">
        <v>177</v>
      </c>
    </row>
    <row r="1937" customFormat="false" ht="13.35" hidden="false" customHeight="true" outlineLevel="0" collapsed="false">
      <c r="A1937" s="5" t="str">
        <f aca="false">HYPERLINK("https://www.fabsurplus.com/sdi_catalog/salesItemDetails.do?id=103040")</f>
        <v>https://www.fabsurplus.com/sdi_catalog/salesItemDetails.do?id=103040</v>
      </c>
      <c r="B1937" s="5" t="s">
        <v>5281</v>
      </c>
      <c r="C1937" s="5" t="s">
        <v>5259</v>
      </c>
      <c r="D1937" s="5" t="s">
        <v>5282</v>
      </c>
      <c r="E1937" s="5" t="s">
        <v>5283</v>
      </c>
      <c r="F1937" s="5" t="s">
        <v>16</v>
      </c>
      <c r="G1937" s="5" t="s">
        <v>36</v>
      </c>
      <c r="H1937" s="5"/>
      <c r="I1937" s="5"/>
      <c r="J1937" s="5" t="s">
        <v>19</v>
      </c>
      <c r="K1937" s="5"/>
      <c r="L1937" s="7" t="s">
        <v>5284</v>
      </c>
    </row>
    <row r="1938" customFormat="false" ht="13.35" hidden="false" customHeight="true" outlineLevel="0" collapsed="false">
      <c r="A1938" s="5" t="str">
        <f aca="false">HYPERLINK("https://www.fabsurplus.com/sdi_catalog/salesItemDetails.do?id=100345")</f>
        <v>https://www.fabsurplus.com/sdi_catalog/salesItemDetails.do?id=100345</v>
      </c>
      <c r="B1938" s="5" t="s">
        <v>5285</v>
      </c>
      <c r="C1938" s="5" t="s">
        <v>5286</v>
      </c>
      <c r="D1938" s="5" t="s">
        <v>5287</v>
      </c>
      <c r="E1938" s="5" t="s">
        <v>5288</v>
      </c>
      <c r="F1938" s="5" t="s">
        <v>16</v>
      </c>
      <c r="G1938" s="5" t="s">
        <v>493</v>
      </c>
      <c r="H1938" s="5" t="s">
        <v>26</v>
      </c>
      <c r="I1938" s="6" t="n">
        <v>41061</v>
      </c>
      <c r="J1938" s="5" t="s">
        <v>19</v>
      </c>
      <c r="K1938" s="5" t="s">
        <v>20</v>
      </c>
      <c r="L1938" s="7" t="s">
        <v>5289</v>
      </c>
    </row>
    <row r="1939" customFormat="false" ht="13.35" hidden="false" customHeight="true" outlineLevel="0" collapsed="false">
      <c r="A1939" s="5" t="str">
        <f aca="false">HYPERLINK("https://www.fabsurplus.com/sdi_catalog/salesItemDetails.do?id=102760")</f>
        <v>https://www.fabsurplus.com/sdi_catalog/salesItemDetails.do?id=102760</v>
      </c>
      <c r="B1939" s="5" t="s">
        <v>5290</v>
      </c>
      <c r="C1939" s="5" t="s">
        <v>5286</v>
      </c>
      <c r="D1939" s="5" t="s">
        <v>5291</v>
      </c>
      <c r="E1939" s="5" t="s">
        <v>5292</v>
      </c>
      <c r="F1939" s="5" t="s">
        <v>16</v>
      </c>
      <c r="G1939" s="5" t="s">
        <v>17</v>
      </c>
      <c r="H1939" s="5"/>
      <c r="I1939" s="5"/>
      <c r="J1939" s="5" t="s">
        <v>19</v>
      </c>
      <c r="K1939" s="5"/>
      <c r="L1939" s="7" t="s">
        <v>5293</v>
      </c>
    </row>
    <row r="1940" customFormat="false" ht="13.35" hidden="false" customHeight="true" outlineLevel="0" collapsed="false">
      <c r="A1940" s="2" t="str">
        <f aca="false">HYPERLINK("https://www.fabsurplus.com/sdi_catalog/salesItemDetails.do?id=103007")</f>
        <v>https://www.fabsurplus.com/sdi_catalog/salesItemDetails.do?id=103007</v>
      </c>
      <c r="B1940" s="2" t="s">
        <v>5294</v>
      </c>
      <c r="C1940" s="2" t="s">
        <v>5286</v>
      </c>
      <c r="D1940" s="2" t="s">
        <v>5295</v>
      </c>
      <c r="E1940" s="2" t="s">
        <v>5296</v>
      </c>
      <c r="F1940" s="2" t="s">
        <v>16</v>
      </c>
      <c r="G1940" s="2" t="s">
        <v>36</v>
      </c>
      <c r="H1940" s="2"/>
      <c r="I1940" s="3" t="n">
        <v>37043</v>
      </c>
      <c r="J1940" s="2" t="s">
        <v>19</v>
      </c>
      <c r="K1940" s="2"/>
      <c r="L1940" s="4" t="s">
        <v>5297</v>
      </c>
    </row>
    <row r="1941" customFormat="false" ht="13.35" hidden="false" customHeight="true" outlineLevel="0" collapsed="false">
      <c r="A1941" s="2" t="str">
        <f aca="false">HYPERLINK("https://www.fabsurplus.com/sdi_catalog/salesItemDetails.do?id=102579")</f>
        <v>https://www.fabsurplus.com/sdi_catalog/salesItemDetails.do?id=102579</v>
      </c>
      <c r="B1941" s="2" t="s">
        <v>5298</v>
      </c>
      <c r="C1941" s="2" t="s">
        <v>5286</v>
      </c>
      <c r="D1941" s="2" t="s">
        <v>5299</v>
      </c>
      <c r="E1941" s="2" t="s">
        <v>5300</v>
      </c>
      <c r="F1941" s="2" t="s">
        <v>16</v>
      </c>
      <c r="G1941" s="2"/>
      <c r="H1941" s="2" t="s">
        <v>26</v>
      </c>
      <c r="I1941" s="3" t="n">
        <v>40057</v>
      </c>
      <c r="J1941" s="2" t="s">
        <v>19</v>
      </c>
      <c r="K1941" s="2"/>
      <c r="L1941" s="2" t="s">
        <v>5301</v>
      </c>
    </row>
    <row r="1942" customFormat="false" ht="13.35" hidden="false" customHeight="true" outlineLevel="0" collapsed="false">
      <c r="A1942" s="2" t="str">
        <f aca="false">HYPERLINK("https://www.fabsurplus.com/sdi_catalog/salesItemDetails.do?id=102528")</f>
        <v>https://www.fabsurplus.com/sdi_catalog/salesItemDetails.do?id=102528</v>
      </c>
      <c r="B1942" s="2" t="s">
        <v>5302</v>
      </c>
      <c r="C1942" s="2" t="s">
        <v>5303</v>
      </c>
      <c r="D1942" s="2" t="s">
        <v>5304</v>
      </c>
      <c r="E1942" s="2" t="s">
        <v>3283</v>
      </c>
      <c r="F1942" s="2" t="s">
        <v>16</v>
      </c>
      <c r="G1942" s="2"/>
      <c r="H1942" s="2"/>
      <c r="I1942" s="2"/>
      <c r="J1942" s="2" t="s">
        <v>47</v>
      </c>
      <c r="K1942" s="2"/>
      <c r="L1942" s="2"/>
    </row>
    <row r="1943" customFormat="false" ht="13.35" hidden="false" customHeight="true" outlineLevel="0" collapsed="false">
      <c r="A1943" s="5" t="str">
        <f aca="false">HYPERLINK("https://www.fabsurplus.com/sdi_catalog/salesItemDetails.do?id=100044")</f>
        <v>https://www.fabsurplus.com/sdi_catalog/salesItemDetails.do?id=100044</v>
      </c>
      <c r="B1943" s="5" t="s">
        <v>5305</v>
      </c>
      <c r="C1943" s="5" t="s">
        <v>5306</v>
      </c>
      <c r="D1943" s="5" t="s">
        <v>5307</v>
      </c>
      <c r="E1943" s="5" t="s">
        <v>5308</v>
      </c>
      <c r="F1943" s="5" t="s">
        <v>16</v>
      </c>
      <c r="G1943" s="5"/>
      <c r="H1943" s="5" t="s">
        <v>592</v>
      </c>
      <c r="I1943" s="5"/>
      <c r="J1943" s="5" t="s">
        <v>19</v>
      </c>
      <c r="K1943" s="5" t="s">
        <v>20</v>
      </c>
      <c r="L1943" s="7" t="s">
        <v>5309</v>
      </c>
    </row>
    <row r="1944" customFormat="false" ht="13.35" hidden="false" customHeight="true" outlineLevel="0" collapsed="false">
      <c r="A1944" s="2" t="str">
        <f aca="false">HYPERLINK("https://www.fabsurplus.com/sdi_catalog/salesItemDetails.do?id=102975")</f>
        <v>https://www.fabsurplus.com/sdi_catalog/salesItemDetails.do?id=102975</v>
      </c>
      <c r="B1944" s="2" t="s">
        <v>5310</v>
      </c>
      <c r="C1944" s="2" t="s">
        <v>5311</v>
      </c>
      <c r="D1944" s="2" t="s">
        <v>5312</v>
      </c>
      <c r="E1944" s="2" t="s">
        <v>583</v>
      </c>
      <c r="F1944" s="2" t="s">
        <v>16</v>
      </c>
      <c r="G1944" s="2" t="s">
        <v>17</v>
      </c>
      <c r="H1944" s="2"/>
      <c r="I1944" s="3" t="n">
        <v>38869</v>
      </c>
      <c r="J1944" s="2" t="s">
        <v>19</v>
      </c>
      <c r="K1944" s="2"/>
      <c r="L1944" s="2"/>
    </row>
    <row r="1945" customFormat="false" ht="13.35" hidden="false" customHeight="true" outlineLevel="0" collapsed="false">
      <c r="A1945" s="2" t="str">
        <f aca="false">HYPERLINK("https://www.fabsurplus.com/sdi_catalog/salesItemDetails.do?id=87650")</f>
        <v>https://www.fabsurplus.com/sdi_catalog/salesItemDetails.do?id=87650</v>
      </c>
      <c r="B1945" s="2" t="s">
        <v>5313</v>
      </c>
      <c r="C1945" s="2" t="s">
        <v>5314</v>
      </c>
      <c r="D1945" s="2" t="s">
        <v>5312</v>
      </c>
      <c r="E1945" s="2" t="s">
        <v>5315</v>
      </c>
      <c r="F1945" s="2" t="s">
        <v>16</v>
      </c>
      <c r="G1945" s="2" t="s">
        <v>160</v>
      </c>
      <c r="H1945" s="2" t="s">
        <v>26</v>
      </c>
      <c r="I1945" s="3" t="n">
        <v>38869</v>
      </c>
      <c r="J1945" s="2" t="s">
        <v>19</v>
      </c>
      <c r="K1945" s="2" t="s">
        <v>20</v>
      </c>
      <c r="L1945" s="2" t="s">
        <v>3701</v>
      </c>
    </row>
    <row r="1946" customFormat="false" ht="13.35" hidden="false" customHeight="true" outlineLevel="0" collapsed="false">
      <c r="A1946" s="2" t="str">
        <f aca="false">HYPERLINK("https://www.fabsurplus.com/sdi_catalog/salesItemDetails.do?id=90240")</f>
        <v>https://www.fabsurplus.com/sdi_catalog/salesItemDetails.do?id=90240</v>
      </c>
      <c r="B1946" s="2" t="s">
        <v>5316</v>
      </c>
      <c r="C1946" s="2" t="s">
        <v>5317</v>
      </c>
      <c r="D1946" s="2" t="s">
        <v>5318</v>
      </c>
      <c r="E1946" s="2" t="s">
        <v>5319</v>
      </c>
      <c r="F1946" s="2" t="s">
        <v>16</v>
      </c>
      <c r="G1946" s="2" t="s">
        <v>25</v>
      </c>
      <c r="H1946" s="2" t="s">
        <v>26</v>
      </c>
      <c r="I1946" s="2"/>
      <c r="J1946" s="2" t="s">
        <v>19</v>
      </c>
      <c r="K1946" s="2" t="s">
        <v>20</v>
      </c>
      <c r="L1946" s="4" t="s">
        <v>5320</v>
      </c>
    </row>
    <row r="1947" customFormat="false" ht="13.35" hidden="false" customHeight="true" outlineLevel="0" collapsed="false">
      <c r="A1947" s="2" t="str">
        <f aca="false">HYPERLINK("https://www.fabsurplus.com/sdi_catalog/salesItemDetails.do?id=88132")</f>
        <v>https://www.fabsurplus.com/sdi_catalog/salesItemDetails.do?id=88132</v>
      </c>
      <c r="B1947" s="2" t="s">
        <v>5321</v>
      </c>
      <c r="C1947" s="2" t="s">
        <v>5322</v>
      </c>
      <c r="D1947" s="2" t="s">
        <v>5323</v>
      </c>
      <c r="E1947" s="2" t="s">
        <v>87</v>
      </c>
      <c r="F1947" s="2" t="s">
        <v>16</v>
      </c>
      <c r="G1947" s="2" t="s">
        <v>88</v>
      </c>
      <c r="H1947" s="2"/>
      <c r="I1947" s="2"/>
      <c r="J1947" s="2" t="s">
        <v>19</v>
      </c>
      <c r="K1947" s="2"/>
      <c r="L1947" s="2" t="s">
        <v>89</v>
      </c>
    </row>
    <row r="1948" customFormat="false" ht="13.35" hidden="false" customHeight="true" outlineLevel="0" collapsed="false">
      <c r="A1948" s="5" t="str">
        <f aca="false">HYPERLINK("https://www.fabsurplus.com/sdi_catalog/salesItemDetails.do?id=88133")</f>
        <v>https://www.fabsurplus.com/sdi_catalog/salesItemDetails.do?id=88133</v>
      </c>
      <c r="B1948" s="5" t="s">
        <v>5324</v>
      </c>
      <c r="C1948" s="5" t="s">
        <v>5322</v>
      </c>
      <c r="D1948" s="5" t="s">
        <v>5325</v>
      </c>
      <c r="E1948" s="5" t="s">
        <v>87</v>
      </c>
      <c r="F1948" s="5" t="s">
        <v>16</v>
      </c>
      <c r="G1948" s="5" t="s">
        <v>88</v>
      </c>
      <c r="H1948" s="5"/>
      <c r="I1948" s="5"/>
      <c r="J1948" s="5" t="s">
        <v>19</v>
      </c>
      <c r="K1948" s="5"/>
      <c r="L1948" s="5" t="s">
        <v>89</v>
      </c>
    </row>
    <row r="1949" customFormat="false" ht="13.35" hidden="false" customHeight="true" outlineLevel="0" collapsed="false">
      <c r="A1949" s="2" t="str">
        <f aca="false">HYPERLINK("https://www.fabsurplus.com/sdi_catalog/salesItemDetails.do?id=88134")</f>
        <v>https://www.fabsurplus.com/sdi_catalog/salesItemDetails.do?id=88134</v>
      </c>
      <c r="B1949" s="2" t="s">
        <v>5326</v>
      </c>
      <c r="C1949" s="2" t="s">
        <v>5322</v>
      </c>
      <c r="D1949" s="2" t="s">
        <v>5327</v>
      </c>
      <c r="E1949" s="2" t="s">
        <v>87</v>
      </c>
      <c r="F1949" s="2" t="s">
        <v>137</v>
      </c>
      <c r="G1949" s="2" t="s">
        <v>88</v>
      </c>
      <c r="H1949" s="2"/>
      <c r="I1949" s="2"/>
      <c r="J1949" s="2" t="s">
        <v>19</v>
      </c>
      <c r="K1949" s="2"/>
      <c r="L1949" s="2" t="s">
        <v>89</v>
      </c>
    </row>
    <row r="1950" customFormat="false" ht="13.35" hidden="false" customHeight="true" outlineLevel="0" collapsed="false">
      <c r="A1950" s="5" t="str">
        <f aca="false">HYPERLINK("https://www.fabsurplus.com/sdi_catalog/salesItemDetails.do?id=88135")</f>
        <v>https://www.fabsurplus.com/sdi_catalog/salesItemDetails.do?id=88135</v>
      </c>
      <c r="B1950" s="5" t="s">
        <v>5328</v>
      </c>
      <c r="C1950" s="5" t="s">
        <v>5322</v>
      </c>
      <c r="D1950" s="5" t="s">
        <v>5329</v>
      </c>
      <c r="E1950" s="5" t="s">
        <v>87</v>
      </c>
      <c r="F1950" s="5" t="s">
        <v>16</v>
      </c>
      <c r="G1950" s="5" t="s">
        <v>88</v>
      </c>
      <c r="H1950" s="5"/>
      <c r="I1950" s="5"/>
      <c r="J1950" s="5" t="s">
        <v>19</v>
      </c>
      <c r="K1950" s="5"/>
      <c r="L1950" s="5" t="s">
        <v>89</v>
      </c>
    </row>
    <row r="1951" customFormat="false" ht="13.35" hidden="false" customHeight="true" outlineLevel="0" collapsed="false">
      <c r="A1951" s="2" t="str">
        <f aca="false">HYPERLINK("https://www.fabsurplus.com/sdi_catalog/salesItemDetails.do?id=88136")</f>
        <v>https://www.fabsurplus.com/sdi_catalog/salesItemDetails.do?id=88136</v>
      </c>
      <c r="B1951" s="2" t="s">
        <v>5330</v>
      </c>
      <c r="C1951" s="2" t="s">
        <v>5322</v>
      </c>
      <c r="D1951" s="2" t="s">
        <v>5331</v>
      </c>
      <c r="E1951" s="2" t="s">
        <v>87</v>
      </c>
      <c r="F1951" s="2" t="s">
        <v>4557</v>
      </c>
      <c r="G1951" s="2" t="s">
        <v>88</v>
      </c>
      <c r="H1951" s="2"/>
      <c r="I1951" s="2"/>
      <c r="J1951" s="2" t="s">
        <v>19</v>
      </c>
      <c r="K1951" s="2"/>
      <c r="L1951" s="2" t="s">
        <v>89</v>
      </c>
    </row>
    <row r="1952" customFormat="false" ht="13.35" hidden="false" customHeight="true" outlineLevel="0" collapsed="false">
      <c r="A1952" s="2" t="str">
        <f aca="false">HYPERLINK("https://www.fabsurplus.com/sdi_catalog/salesItemDetails.do?id=90179")</f>
        <v>https://www.fabsurplus.com/sdi_catalog/salesItemDetails.do?id=90179</v>
      </c>
      <c r="B1952" s="2" t="s">
        <v>5332</v>
      </c>
      <c r="C1952" s="2" t="s">
        <v>5333</v>
      </c>
      <c r="D1952" s="2" t="s">
        <v>5334</v>
      </c>
      <c r="E1952" s="2" t="s">
        <v>4284</v>
      </c>
      <c r="F1952" s="2" t="s">
        <v>16</v>
      </c>
      <c r="G1952" s="2" t="s">
        <v>138</v>
      </c>
      <c r="H1952" s="2"/>
      <c r="I1952" s="2"/>
      <c r="J1952" s="2" t="s">
        <v>19</v>
      </c>
      <c r="K1952" s="2"/>
      <c r="L1952" s="2" t="s">
        <v>2498</v>
      </c>
    </row>
    <row r="1953" customFormat="false" ht="13.35" hidden="false" customHeight="true" outlineLevel="0" collapsed="false">
      <c r="A1953" s="5" t="str">
        <f aca="false">HYPERLINK("https://www.fabsurplus.com/sdi_catalog/salesItemDetails.do?id=101671")</f>
        <v>https://www.fabsurplus.com/sdi_catalog/salesItemDetails.do?id=101671</v>
      </c>
      <c r="B1953" s="5" t="s">
        <v>5335</v>
      </c>
      <c r="C1953" s="5" t="s">
        <v>5333</v>
      </c>
      <c r="D1953" s="5" t="s">
        <v>5336</v>
      </c>
      <c r="E1953" s="5" t="s">
        <v>5337</v>
      </c>
      <c r="F1953" s="5" t="s">
        <v>16</v>
      </c>
      <c r="G1953" s="5" t="s">
        <v>154</v>
      </c>
      <c r="H1953" s="5"/>
      <c r="I1953" s="5"/>
      <c r="J1953" s="5" t="s">
        <v>19</v>
      </c>
      <c r="K1953" s="5"/>
      <c r="L1953" s="5"/>
    </row>
    <row r="1954" customFormat="false" ht="13.35" hidden="false" customHeight="true" outlineLevel="0" collapsed="false">
      <c r="A1954" s="5" t="str">
        <f aca="false">HYPERLINK("https://www.fabsurplus.com/sdi_catalog/salesItemDetails.do?id=97003")</f>
        <v>https://www.fabsurplus.com/sdi_catalog/salesItemDetails.do?id=97003</v>
      </c>
      <c r="B1954" s="5" t="s">
        <v>5338</v>
      </c>
      <c r="C1954" s="5" t="s">
        <v>5339</v>
      </c>
      <c r="D1954" s="5" t="s">
        <v>5340</v>
      </c>
      <c r="E1954" s="5" t="s">
        <v>5341</v>
      </c>
      <c r="F1954" s="5" t="s">
        <v>16</v>
      </c>
      <c r="G1954" s="5" t="s">
        <v>1807</v>
      </c>
      <c r="H1954" s="5" t="s">
        <v>26</v>
      </c>
      <c r="I1954" s="6" t="n">
        <v>35947</v>
      </c>
      <c r="J1954" s="5" t="s">
        <v>19</v>
      </c>
      <c r="K1954" s="5" t="s">
        <v>20</v>
      </c>
      <c r="L1954" s="7" t="s">
        <v>5342</v>
      </c>
    </row>
    <row r="1955" customFormat="false" ht="13.35" hidden="false" customHeight="true" outlineLevel="0" collapsed="false">
      <c r="A1955" s="2" t="str">
        <f aca="false">HYPERLINK("https://www.fabsurplus.com/sdi_catalog/salesItemDetails.do?id=103115")</f>
        <v>https://www.fabsurplus.com/sdi_catalog/salesItemDetails.do?id=103115</v>
      </c>
      <c r="B1955" s="2" t="s">
        <v>5343</v>
      </c>
      <c r="C1955" s="2" t="s">
        <v>5339</v>
      </c>
      <c r="D1955" s="2" t="s">
        <v>5344</v>
      </c>
      <c r="E1955" s="2" t="s">
        <v>3393</v>
      </c>
      <c r="F1955" s="2" t="s">
        <v>16</v>
      </c>
      <c r="G1955" s="2" t="s">
        <v>658</v>
      </c>
      <c r="H1955" s="2"/>
      <c r="I1955" s="3" t="n">
        <v>38139</v>
      </c>
      <c r="J1955" s="2" t="s">
        <v>19</v>
      </c>
      <c r="K1955" s="2"/>
      <c r="L1955" s="4" t="s">
        <v>5345</v>
      </c>
    </row>
    <row r="1956" customFormat="false" ht="13.35" hidden="false" customHeight="true" outlineLevel="0" collapsed="false">
      <c r="A1956" s="5" t="str">
        <f aca="false">HYPERLINK("https://www.fabsurplus.com/sdi_catalog/salesItemDetails.do?id=103116")</f>
        <v>https://www.fabsurplus.com/sdi_catalog/salesItemDetails.do?id=103116</v>
      </c>
      <c r="B1956" s="5" t="s">
        <v>5346</v>
      </c>
      <c r="C1956" s="5" t="s">
        <v>5339</v>
      </c>
      <c r="D1956" s="5" t="s">
        <v>5344</v>
      </c>
      <c r="E1956" s="5" t="s">
        <v>3393</v>
      </c>
      <c r="F1956" s="5" t="s">
        <v>16</v>
      </c>
      <c r="G1956" s="5" t="s">
        <v>658</v>
      </c>
      <c r="H1956" s="5"/>
      <c r="I1956" s="6" t="n">
        <v>37773</v>
      </c>
      <c r="J1956" s="5" t="s">
        <v>19</v>
      </c>
      <c r="K1956" s="5"/>
      <c r="L1956" s="7" t="s">
        <v>5347</v>
      </c>
    </row>
    <row r="1957" customFormat="false" ht="13.35" hidden="false" customHeight="true" outlineLevel="0" collapsed="false">
      <c r="A1957" s="5" t="str">
        <f aca="false">HYPERLINK("https://www.fabsurplus.com/sdi_catalog/salesItemDetails.do?id=96018")</f>
        <v>https://www.fabsurplus.com/sdi_catalog/salesItemDetails.do?id=96018</v>
      </c>
      <c r="B1957" s="5" t="s">
        <v>5348</v>
      </c>
      <c r="C1957" s="5" t="s">
        <v>5349</v>
      </c>
      <c r="D1957" s="5" t="s">
        <v>5350</v>
      </c>
      <c r="E1957" s="5" t="s">
        <v>5351</v>
      </c>
      <c r="F1957" s="5" t="s">
        <v>16</v>
      </c>
      <c r="G1957" s="5"/>
      <c r="H1957" s="5"/>
      <c r="I1957" s="5"/>
      <c r="J1957" s="5" t="s">
        <v>19</v>
      </c>
      <c r="K1957" s="5"/>
      <c r="L1957" s="7" t="s">
        <v>209</v>
      </c>
    </row>
    <row r="1958" customFormat="false" ht="13.35" hidden="false" customHeight="true" outlineLevel="0" collapsed="false">
      <c r="A1958" s="5" t="str">
        <f aca="false">HYPERLINK("https://www.fabsurplus.com/sdi_catalog/salesItemDetails.do?id=102338")</f>
        <v>https://www.fabsurplus.com/sdi_catalog/salesItemDetails.do?id=102338</v>
      </c>
      <c r="B1958" s="5" t="s">
        <v>5352</v>
      </c>
      <c r="C1958" s="5" t="s">
        <v>5353</v>
      </c>
      <c r="D1958" s="5" t="s">
        <v>5354</v>
      </c>
      <c r="E1958" s="5" t="s">
        <v>5355</v>
      </c>
      <c r="F1958" s="5" t="s">
        <v>16</v>
      </c>
      <c r="G1958" s="5" t="s">
        <v>5356</v>
      </c>
      <c r="H1958" s="5"/>
      <c r="I1958" s="6" t="n">
        <v>39234</v>
      </c>
      <c r="J1958" s="5" t="s">
        <v>19</v>
      </c>
      <c r="K1958" s="5"/>
      <c r="L1958" s="5"/>
    </row>
    <row r="1959" customFormat="false" ht="13.35" hidden="false" customHeight="true" outlineLevel="0" collapsed="false">
      <c r="A1959" s="2" t="str">
        <f aca="false">HYPERLINK("https://www.fabsurplus.com/sdi_catalog/salesItemDetails.do?id=102339")</f>
        <v>https://www.fabsurplus.com/sdi_catalog/salesItemDetails.do?id=102339</v>
      </c>
      <c r="B1959" s="2" t="s">
        <v>5357</v>
      </c>
      <c r="C1959" s="2" t="s">
        <v>5353</v>
      </c>
      <c r="D1959" s="2" t="s">
        <v>5358</v>
      </c>
      <c r="E1959" s="2" t="s">
        <v>5355</v>
      </c>
      <c r="F1959" s="2" t="s">
        <v>16</v>
      </c>
      <c r="G1959" s="2" t="s">
        <v>17</v>
      </c>
      <c r="H1959" s="2"/>
      <c r="I1959" s="3" t="n">
        <v>39965</v>
      </c>
      <c r="J1959" s="2" t="s">
        <v>19</v>
      </c>
      <c r="K1959" s="2"/>
      <c r="L1959" s="2"/>
    </row>
    <row r="1960" customFormat="false" ht="13.35" hidden="false" customHeight="true" outlineLevel="0" collapsed="false">
      <c r="A1960" s="2" t="str">
        <f aca="false">HYPERLINK("https://www.fabsurplus.com/sdi_catalog/salesItemDetails.do?id=86340")</f>
        <v>https://www.fabsurplus.com/sdi_catalog/salesItemDetails.do?id=86340</v>
      </c>
      <c r="B1960" s="2" t="s">
        <v>5359</v>
      </c>
      <c r="C1960" s="2" t="s">
        <v>5360</v>
      </c>
      <c r="D1960" s="2" t="s">
        <v>5361</v>
      </c>
      <c r="E1960" s="2" t="s">
        <v>5362</v>
      </c>
      <c r="F1960" s="2" t="s">
        <v>16</v>
      </c>
      <c r="G1960" s="2" t="s">
        <v>2762</v>
      </c>
      <c r="H1960" s="2" t="s">
        <v>26</v>
      </c>
      <c r="I1960" s="3" t="n">
        <v>38869</v>
      </c>
      <c r="J1960" s="2" t="s">
        <v>19</v>
      </c>
      <c r="K1960" s="2" t="s">
        <v>20</v>
      </c>
      <c r="L1960" s="4" t="s">
        <v>5363</v>
      </c>
    </row>
    <row r="1961" customFormat="false" ht="13.35" hidden="false" customHeight="true" outlineLevel="0" collapsed="false">
      <c r="A1961" s="2" t="str">
        <f aca="false">HYPERLINK("https://www.fabsurplus.com/sdi_catalog/salesItemDetails.do?id=100648")</f>
        <v>https://www.fabsurplus.com/sdi_catalog/salesItemDetails.do?id=100648</v>
      </c>
      <c r="B1961" s="2" t="s">
        <v>5364</v>
      </c>
      <c r="C1961" s="2" t="s">
        <v>5353</v>
      </c>
      <c r="D1961" s="2" t="s">
        <v>5365</v>
      </c>
      <c r="E1961" s="2" t="s">
        <v>3287</v>
      </c>
      <c r="F1961" s="2" t="s">
        <v>16</v>
      </c>
      <c r="G1961" s="2" t="s">
        <v>160</v>
      </c>
      <c r="H1961" s="2"/>
      <c r="I1961" s="2"/>
      <c r="J1961" s="2" t="s">
        <v>19</v>
      </c>
      <c r="K1961" s="2"/>
      <c r="L1961" s="2" t="s">
        <v>474</v>
      </c>
    </row>
    <row r="1962" customFormat="false" ht="13.35" hidden="false" customHeight="true" outlineLevel="0" collapsed="false">
      <c r="A1962" s="5" t="str">
        <f aca="false">HYPERLINK("https://www.fabsurplus.com/sdi_catalog/salesItemDetails.do?id=100649")</f>
        <v>https://www.fabsurplus.com/sdi_catalog/salesItemDetails.do?id=100649</v>
      </c>
      <c r="B1962" s="5" t="s">
        <v>5366</v>
      </c>
      <c r="C1962" s="5" t="s">
        <v>5353</v>
      </c>
      <c r="D1962" s="5" t="s">
        <v>5367</v>
      </c>
      <c r="E1962" s="5" t="s">
        <v>5368</v>
      </c>
      <c r="F1962" s="5" t="s">
        <v>16</v>
      </c>
      <c r="G1962" s="5" t="s">
        <v>160</v>
      </c>
      <c r="H1962" s="5" t="s">
        <v>18</v>
      </c>
      <c r="I1962" s="5"/>
      <c r="J1962" s="5" t="s">
        <v>47</v>
      </c>
      <c r="K1962" s="5" t="s">
        <v>20</v>
      </c>
      <c r="L1962" s="7" t="s">
        <v>5369</v>
      </c>
    </row>
    <row r="1963" customFormat="false" ht="13.35" hidden="false" customHeight="true" outlineLevel="0" collapsed="false">
      <c r="A1963" s="5" t="str">
        <f aca="false">HYPERLINK("https://www.fabsurplus.com/sdi_catalog/salesItemDetails.do?id=98420")</f>
        <v>https://www.fabsurplus.com/sdi_catalog/salesItemDetails.do?id=98420</v>
      </c>
      <c r="B1963" s="5" t="s">
        <v>5370</v>
      </c>
      <c r="C1963" s="5" t="s">
        <v>5371</v>
      </c>
      <c r="D1963" s="5" t="s">
        <v>5372</v>
      </c>
      <c r="E1963" s="5" t="s">
        <v>5373</v>
      </c>
      <c r="F1963" s="5" t="s">
        <v>16</v>
      </c>
      <c r="G1963" s="5" t="s">
        <v>5374</v>
      </c>
      <c r="H1963" s="5"/>
      <c r="I1963" s="5"/>
      <c r="J1963" s="5" t="s">
        <v>19</v>
      </c>
      <c r="K1963" s="5"/>
      <c r="L1963" s="5" t="s">
        <v>893</v>
      </c>
    </row>
    <row r="1964" customFormat="false" ht="13.35" hidden="false" customHeight="true" outlineLevel="0" collapsed="false">
      <c r="A1964" s="2" t="str">
        <f aca="false">HYPERLINK("https://www.fabsurplus.com/sdi_catalog/salesItemDetails.do?id=101631")</f>
        <v>https://www.fabsurplus.com/sdi_catalog/salesItemDetails.do?id=101631</v>
      </c>
      <c r="B1964" s="2" t="s">
        <v>5375</v>
      </c>
      <c r="C1964" s="2" t="s">
        <v>5376</v>
      </c>
      <c r="D1964" s="2" t="s">
        <v>5377</v>
      </c>
      <c r="E1964" s="2" t="s">
        <v>5378</v>
      </c>
      <c r="F1964" s="2" t="s">
        <v>16</v>
      </c>
      <c r="G1964" s="2" t="s">
        <v>5379</v>
      </c>
      <c r="H1964" s="2"/>
      <c r="I1964" s="2"/>
      <c r="J1964" s="2" t="s">
        <v>19</v>
      </c>
      <c r="K1964" s="2"/>
      <c r="L1964" s="2"/>
    </row>
    <row r="1965" customFormat="false" ht="13.35" hidden="false" customHeight="true" outlineLevel="0" collapsed="false">
      <c r="A1965" s="2" t="str">
        <f aca="false">HYPERLINK("https://www.fabsurplus.com/sdi_catalog/salesItemDetails.do?id=103009")</f>
        <v>https://www.fabsurplus.com/sdi_catalog/salesItemDetails.do?id=103009</v>
      </c>
      <c r="B1965" s="2" t="s">
        <v>5380</v>
      </c>
      <c r="C1965" s="2" t="s">
        <v>5381</v>
      </c>
      <c r="D1965" s="2" t="s">
        <v>5382</v>
      </c>
      <c r="E1965" s="2" t="s">
        <v>5383</v>
      </c>
      <c r="F1965" s="2" t="s">
        <v>16</v>
      </c>
      <c r="G1965" s="2"/>
      <c r="H1965" s="2"/>
      <c r="I1965" s="2"/>
      <c r="J1965" s="2" t="s">
        <v>19</v>
      </c>
      <c r="K1965" s="2"/>
      <c r="L1965" s="4" t="s">
        <v>5384</v>
      </c>
    </row>
    <row r="1966" customFormat="false" ht="13.35" hidden="false" customHeight="true" outlineLevel="0" collapsed="false">
      <c r="A1966" s="5" t="str">
        <f aca="false">HYPERLINK("https://www.fabsurplus.com/sdi_catalog/salesItemDetails.do?id=103010")</f>
        <v>https://www.fabsurplus.com/sdi_catalog/salesItemDetails.do?id=103010</v>
      </c>
      <c r="B1966" s="5" t="s">
        <v>5385</v>
      </c>
      <c r="C1966" s="5" t="s">
        <v>5381</v>
      </c>
      <c r="D1966" s="5" t="s">
        <v>5386</v>
      </c>
      <c r="E1966" s="5" t="s">
        <v>5387</v>
      </c>
      <c r="F1966" s="5" t="s">
        <v>16</v>
      </c>
      <c r="G1966" s="5" t="s">
        <v>36</v>
      </c>
      <c r="H1966" s="5"/>
      <c r="I1966" s="6" t="n">
        <v>35947</v>
      </c>
      <c r="J1966" s="5" t="s">
        <v>19</v>
      </c>
      <c r="K1966" s="5"/>
      <c r="L1966" s="7" t="s">
        <v>5388</v>
      </c>
    </row>
    <row r="1967" customFormat="false" ht="13.35" hidden="false" customHeight="true" outlineLevel="0" collapsed="false">
      <c r="A1967" s="2" t="str">
        <f aca="false">HYPERLINK("https://www.fabsurplus.com/sdi_catalog/salesItemDetails.do?id=103011")</f>
        <v>https://www.fabsurplus.com/sdi_catalog/salesItemDetails.do?id=103011</v>
      </c>
      <c r="B1967" s="2" t="s">
        <v>5389</v>
      </c>
      <c r="C1967" s="2" t="s">
        <v>5381</v>
      </c>
      <c r="D1967" s="2" t="s">
        <v>5390</v>
      </c>
      <c r="E1967" s="2" t="s">
        <v>5391</v>
      </c>
      <c r="F1967" s="2" t="s">
        <v>16</v>
      </c>
      <c r="G1967" s="2" t="s">
        <v>36</v>
      </c>
      <c r="H1967" s="2"/>
      <c r="I1967" s="3" t="n">
        <v>37043</v>
      </c>
      <c r="J1967" s="2" t="s">
        <v>19</v>
      </c>
      <c r="K1967" s="2"/>
      <c r="L1967" s="2" t="s">
        <v>5392</v>
      </c>
    </row>
    <row r="1968" customFormat="false" ht="13.35" hidden="false" customHeight="true" outlineLevel="0" collapsed="false">
      <c r="A1968" s="5" t="str">
        <f aca="false">HYPERLINK("https://www.fabsurplus.com/sdi_catalog/salesItemDetails.do?id=103008")</f>
        <v>https://www.fabsurplus.com/sdi_catalog/salesItemDetails.do?id=103008</v>
      </c>
      <c r="B1968" s="5" t="s">
        <v>5393</v>
      </c>
      <c r="C1968" s="5" t="s">
        <v>5381</v>
      </c>
      <c r="D1968" s="5" t="s">
        <v>5394</v>
      </c>
      <c r="E1968" s="5" t="s">
        <v>5395</v>
      </c>
      <c r="F1968" s="5" t="s">
        <v>16</v>
      </c>
      <c r="G1968" s="5" t="s">
        <v>36</v>
      </c>
      <c r="H1968" s="5"/>
      <c r="I1968" s="5"/>
      <c r="J1968" s="5" t="s">
        <v>19</v>
      </c>
      <c r="K1968" s="5"/>
      <c r="L1968" s="7" t="s">
        <v>5396</v>
      </c>
    </row>
    <row r="1969" customFormat="false" ht="13.35" hidden="false" customHeight="true" outlineLevel="0" collapsed="false">
      <c r="A1969" s="5" t="str">
        <f aca="false">HYPERLINK("https://www.fabsurplus.com/sdi_catalog/salesItemDetails.do?id=103012")</f>
        <v>https://www.fabsurplus.com/sdi_catalog/salesItemDetails.do?id=103012</v>
      </c>
      <c r="B1969" s="5" t="s">
        <v>5397</v>
      </c>
      <c r="C1969" s="5" t="s">
        <v>5381</v>
      </c>
      <c r="D1969" s="5" t="s">
        <v>5398</v>
      </c>
      <c r="E1969" s="5" t="s">
        <v>5399</v>
      </c>
      <c r="F1969" s="5" t="s">
        <v>16</v>
      </c>
      <c r="G1969" s="5"/>
      <c r="H1969" s="5"/>
      <c r="I1969" s="6" t="n">
        <v>36312</v>
      </c>
      <c r="J1969" s="5" t="s">
        <v>19</v>
      </c>
      <c r="K1969" s="5"/>
      <c r="L1969" s="7" t="s">
        <v>5400</v>
      </c>
    </row>
    <row r="1970" customFormat="false" ht="13.35" hidden="false" customHeight="true" outlineLevel="0" collapsed="false">
      <c r="A1970" s="2" t="str">
        <f aca="false">HYPERLINK("https://www.fabsurplus.com/sdi_catalog/salesItemDetails.do?id=88137")</f>
        <v>https://www.fabsurplus.com/sdi_catalog/salesItemDetails.do?id=88137</v>
      </c>
      <c r="B1970" s="2" t="s">
        <v>5401</v>
      </c>
      <c r="C1970" s="2" t="s">
        <v>5402</v>
      </c>
      <c r="D1970" s="2" t="s">
        <v>5403</v>
      </c>
      <c r="E1970" s="2" t="s">
        <v>87</v>
      </c>
      <c r="F1970" s="2" t="s">
        <v>2000</v>
      </c>
      <c r="G1970" s="2" t="s">
        <v>88</v>
      </c>
      <c r="H1970" s="2"/>
      <c r="I1970" s="2"/>
      <c r="J1970" s="2" t="s">
        <v>19</v>
      </c>
      <c r="K1970" s="2"/>
      <c r="L1970" s="2" t="s">
        <v>89</v>
      </c>
    </row>
    <row r="1971" customFormat="false" ht="13.35" hidden="false" customHeight="true" outlineLevel="0" collapsed="false">
      <c r="A1971" s="5" t="str">
        <f aca="false">HYPERLINK("https://www.fabsurplus.com/sdi_catalog/salesItemDetails.do?id=88138")</f>
        <v>https://www.fabsurplus.com/sdi_catalog/salesItemDetails.do?id=88138</v>
      </c>
      <c r="B1971" s="5" t="s">
        <v>5404</v>
      </c>
      <c r="C1971" s="5" t="s">
        <v>5402</v>
      </c>
      <c r="D1971" s="5" t="s">
        <v>5405</v>
      </c>
      <c r="E1971" s="5" t="s">
        <v>87</v>
      </c>
      <c r="F1971" s="5" t="s">
        <v>16</v>
      </c>
      <c r="G1971" s="5" t="s">
        <v>88</v>
      </c>
      <c r="H1971" s="5"/>
      <c r="I1971" s="5"/>
      <c r="J1971" s="5" t="s">
        <v>19</v>
      </c>
      <c r="K1971" s="5"/>
      <c r="L1971" s="5" t="s">
        <v>89</v>
      </c>
    </row>
    <row r="1972" customFormat="false" ht="13.35" hidden="false" customHeight="true" outlineLevel="0" collapsed="false">
      <c r="A1972" s="2" t="str">
        <f aca="false">HYPERLINK("https://www.fabsurplus.com/sdi_catalog/salesItemDetails.do?id=99403")</f>
        <v>https://www.fabsurplus.com/sdi_catalog/salesItemDetails.do?id=99403</v>
      </c>
      <c r="B1972" s="2" t="s">
        <v>5406</v>
      </c>
      <c r="C1972" s="2" t="s">
        <v>5407</v>
      </c>
      <c r="D1972" s="2" t="s">
        <v>5408</v>
      </c>
      <c r="E1972" s="2" t="s">
        <v>5409</v>
      </c>
      <c r="F1972" s="2" t="s">
        <v>16</v>
      </c>
      <c r="G1972" s="2" t="s">
        <v>555</v>
      </c>
      <c r="H1972" s="2" t="s">
        <v>26</v>
      </c>
      <c r="I1972" s="3" t="n">
        <v>36281</v>
      </c>
      <c r="J1972" s="2" t="s">
        <v>19</v>
      </c>
      <c r="K1972" s="2" t="s">
        <v>20</v>
      </c>
      <c r="L1972" s="4" t="s">
        <v>5410</v>
      </c>
    </row>
    <row r="1973" customFormat="false" ht="13.35" hidden="false" customHeight="true" outlineLevel="0" collapsed="false">
      <c r="A1973" s="2" t="str">
        <f aca="false">HYPERLINK("https://www.fabsurplus.com/sdi_catalog/salesItemDetails.do?id=99429")</f>
        <v>https://www.fabsurplus.com/sdi_catalog/salesItemDetails.do?id=99429</v>
      </c>
      <c r="B1973" s="2" t="s">
        <v>5411</v>
      </c>
      <c r="C1973" s="2" t="s">
        <v>5412</v>
      </c>
      <c r="D1973" s="2" t="s">
        <v>5413</v>
      </c>
      <c r="E1973" s="2" t="s">
        <v>5414</v>
      </c>
      <c r="F1973" s="2" t="s">
        <v>16</v>
      </c>
      <c r="G1973" s="2" t="s">
        <v>36</v>
      </c>
      <c r="H1973" s="2" t="s">
        <v>18</v>
      </c>
      <c r="I1973" s="2"/>
      <c r="J1973" s="2" t="s">
        <v>19</v>
      </c>
      <c r="K1973" s="2" t="s">
        <v>20</v>
      </c>
      <c r="L1973" s="4" t="s">
        <v>5415</v>
      </c>
    </row>
    <row r="1974" customFormat="false" ht="13.35" hidden="false" customHeight="true" outlineLevel="0" collapsed="false">
      <c r="A1974" s="5" t="str">
        <f aca="false">HYPERLINK("https://www.fabsurplus.com/sdi_catalog/salesItemDetails.do?id=91869")</f>
        <v>https://www.fabsurplus.com/sdi_catalog/salesItemDetails.do?id=91869</v>
      </c>
      <c r="B1974" s="5" t="s">
        <v>5416</v>
      </c>
      <c r="C1974" s="5" t="s">
        <v>5417</v>
      </c>
      <c r="D1974" s="5" t="s">
        <v>5418</v>
      </c>
      <c r="E1974" s="5" t="s">
        <v>5419</v>
      </c>
      <c r="F1974" s="5" t="s">
        <v>16</v>
      </c>
      <c r="G1974" s="5" t="s">
        <v>555</v>
      </c>
      <c r="H1974" s="5" t="s">
        <v>18</v>
      </c>
      <c r="I1974" s="5"/>
      <c r="J1974" s="5" t="s">
        <v>47</v>
      </c>
      <c r="K1974" s="5" t="s">
        <v>20</v>
      </c>
      <c r="L1974" s="7" t="s">
        <v>5420</v>
      </c>
    </row>
    <row r="1975" customFormat="false" ht="13.35" hidden="false" customHeight="true" outlineLevel="0" collapsed="false">
      <c r="A1975" s="5" t="str">
        <f aca="false">HYPERLINK("https://www.fabsurplus.com/sdi_catalog/salesItemDetails.do?id=96019")</f>
        <v>https://www.fabsurplus.com/sdi_catalog/salesItemDetails.do?id=96019</v>
      </c>
      <c r="B1975" s="5" t="s">
        <v>5421</v>
      </c>
      <c r="C1975" s="5" t="s">
        <v>5422</v>
      </c>
      <c r="D1975" s="5" t="s">
        <v>5423</v>
      </c>
      <c r="E1975" s="5" t="s">
        <v>5424</v>
      </c>
      <c r="F1975" s="5" t="s">
        <v>16</v>
      </c>
      <c r="G1975" s="5" t="s">
        <v>479</v>
      </c>
      <c r="H1975" s="5"/>
      <c r="I1975" s="5"/>
      <c r="J1975" s="5" t="s">
        <v>19</v>
      </c>
      <c r="K1975" s="5"/>
      <c r="L1975" s="7" t="s">
        <v>209</v>
      </c>
    </row>
    <row r="1976" customFormat="false" ht="13.35" hidden="false" customHeight="true" outlineLevel="0" collapsed="false">
      <c r="A1976" s="2" t="str">
        <f aca="false">HYPERLINK("https://www.fabsurplus.com/sdi_catalog/salesItemDetails.do?id=98861")</f>
        <v>https://www.fabsurplus.com/sdi_catalog/salesItemDetails.do?id=98861</v>
      </c>
      <c r="B1976" s="2" t="s">
        <v>5425</v>
      </c>
      <c r="C1976" s="2" t="s">
        <v>5426</v>
      </c>
      <c r="D1976" s="2" t="s">
        <v>5427</v>
      </c>
      <c r="E1976" s="2" t="s">
        <v>5428</v>
      </c>
      <c r="F1976" s="2" t="s">
        <v>16</v>
      </c>
      <c r="G1976" s="2"/>
      <c r="H1976" s="2"/>
      <c r="I1976" s="2"/>
      <c r="J1976" s="2" t="s">
        <v>47</v>
      </c>
      <c r="K1976" s="2"/>
      <c r="L1976" s="4" t="s">
        <v>5429</v>
      </c>
    </row>
    <row r="1977" customFormat="false" ht="13.35" hidden="false" customHeight="true" outlineLevel="0" collapsed="false">
      <c r="A1977" s="5" t="str">
        <f aca="false">HYPERLINK("https://www.fabsurplus.com/sdi_catalog/salesItemDetails.do?id=101684")</f>
        <v>https://www.fabsurplus.com/sdi_catalog/salesItemDetails.do?id=101684</v>
      </c>
      <c r="B1977" s="5" t="s">
        <v>5430</v>
      </c>
      <c r="C1977" s="5" t="s">
        <v>5431</v>
      </c>
      <c r="D1977" s="5" t="s">
        <v>5432</v>
      </c>
      <c r="E1977" s="5" t="s">
        <v>41</v>
      </c>
      <c r="F1977" s="5" t="s">
        <v>16</v>
      </c>
      <c r="G1977" s="5"/>
      <c r="H1977" s="5"/>
      <c r="I1977" s="5"/>
      <c r="J1977" s="5" t="s">
        <v>47</v>
      </c>
      <c r="K1977" s="5"/>
      <c r="L1977" s="5" t="s">
        <v>474</v>
      </c>
    </row>
    <row r="1978" customFormat="false" ht="13.35" hidden="false" customHeight="true" outlineLevel="0" collapsed="false">
      <c r="A1978" s="5" t="str">
        <f aca="false">HYPERLINK("https://www.fabsurplus.com/sdi_catalog/salesItemDetails.do?id=98038")</f>
        <v>https://www.fabsurplus.com/sdi_catalog/salesItemDetails.do?id=98038</v>
      </c>
      <c r="B1978" s="5" t="s">
        <v>5433</v>
      </c>
      <c r="C1978" s="5" t="s">
        <v>5434</v>
      </c>
      <c r="D1978" s="5" t="s">
        <v>5435</v>
      </c>
      <c r="E1978" s="5" t="s">
        <v>1572</v>
      </c>
      <c r="F1978" s="5" t="s">
        <v>16</v>
      </c>
      <c r="G1978" s="5" t="s">
        <v>36</v>
      </c>
      <c r="H1978" s="5"/>
      <c r="I1978" s="6" t="n">
        <v>38139</v>
      </c>
      <c r="J1978" s="5" t="s">
        <v>19</v>
      </c>
      <c r="K1978" s="5"/>
      <c r="L1978" s="5"/>
    </row>
    <row r="1979" customFormat="false" ht="13.35" hidden="false" customHeight="true" outlineLevel="0" collapsed="false">
      <c r="A1979" s="2" t="str">
        <f aca="false">HYPERLINK("https://www.fabsurplus.com/sdi_catalog/salesItemDetails.do?id=98039")</f>
        <v>https://www.fabsurplus.com/sdi_catalog/salesItemDetails.do?id=98039</v>
      </c>
      <c r="B1979" s="2" t="s">
        <v>5436</v>
      </c>
      <c r="C1979" s="2" t="s">
        <v>5434</v>
      </c>
      <c r="D1979" s="2" t="s">
        <v>5435</v>
      </c>
      <c r="E1979" s="2" t="s">
        <v>1572</v>
      </c>
      <c r="F1979" s="2" t="s">
        <v>16</v>
      </c>
      <c r="G1979" s="2" t="s">
        <v>36</v>
      </c>
      <c r="H1979" s="2"/>
      <c r="I1979" s="3" t="n">
        <v>38504</v>
      </c>
      <c r="J1979" s="2" t="s">
        <v>19</v>
      </c>
      <c r="K1979" s="2"/>
      <c r="L1979" s="2"/>
    </row>
    <row r="1980" customFormat="false" ht="13.35" hidden="false" customHeight="true" outlineLevel="0" collapsed="false">
      <c r="A1980" s="2" t="str">
        <f aca="false">HYPERLINK("https://www.fabsurplus.com/sdi_catalog/salesItemDetails.do?id=102761")</f>
        <v>https://www.fabsurplus.com/sdi_catalog/salesItemDetails.do?id=102761</v>
      </c>
      <c r="B1980" s="2" t="s">
        <v>5437</v>
      </c>
      <c r="C1980" s="2" t="s">
        <v>5434</v>
      </c>
      <c r="D1980" s="2" t="s">
        <v>5438</v>
      </c>
      <c r="E1980" s="2" t="s">
        <v>1911</v>
      </c>
      <c r="F1980" s="2" t="s">
        <v>16</v>
      </c>
      <c r="G1980" s="2" t="s">
        <v>17</v>
      </c>
      <c r="H1980" s="2"/>
      <c r="I1980" s="3" t="n">
        <v>39234</v>
      </c>
      <c r="J1980" s="2" t="s">
        <v>19</v>
      </c>
      <c r="K1980" s="2"/>
      <c r="L1980" s="4" t="s">
        <v>5439</v>
      </c>
    </row>
    <row r="1981" customFormat="false" ht="13.35" hidden="false" customHeight="true" outlineLevel="0" collapsed="false">
      <c r="A1981" s="5" t="str">
        <f aca="false">HYPERLINK("https://www.fabsurplus.com/sdi_catalog/salesItemDetails.do?id=98833")</f>
        <v>https://www.fabsurplus.com/sdi_catalog/salesItemDetails.do?id=98833</v>
      </c>
      <c r="B1981" s="5" t="s">
        <v>5440</v>
      </c>
      <c r="C1981" s="5" t="s">
        <v>5434</v>
      </c>
      <c r="D1981" s="5" t="s">
        <v>5441</v>
      </c>
      <c r="E1981" s="5" t="s">
        <v>5442</v>
      </c>
      <c r="F1981" s="5" t="s">
        <v>16</v>
      </c>
      <c r="G1981" s="5" t="s">
        <v>17</v>
      </c>
      <c r="H1981" s="5"/>
      <c r="I1981" s="6" t="n">
        <v>39022</v>
      </c>
      <c r="J1981" s="5" t="s">
        <v>19</v>
      </c>
      <c r="K1981" s="5"/>
      <c r="L1981" s="7" t="s">
        <v>654</v>
      </c>
    </row>
    <row r="1982" customFormat="false" ht="13.35" hidden="false" customHeight="true" outlineLevel="0" collapsed="false">
      <c r="A1982" s="2" t="str">
        <f aca="false">HYPERLINK("https://www.fabsurplus.com/sdi_catalog/salesItemDetails.do?id=102340")</f>
        <v>https://www.fabsurplus.com/sdi_catalog/salesItemDetails.do?id=102340</v>
      </c>
      <c r="B1982" s="2" t="s">
        <v>5443</v>
      </c>
      <c r="C1982" s="2" t="s">
        <v>5434</v>
      </c>
      <c r="D1982" s="2" t="s">
        <v>5444</v>
      </c>
      <c r="E1982" s="2" t="s">
        <v>1572</v>
      </c>
      <c r="F1982" s="2" t="s">
        <v>16</v>
      </c>
      <c r="G1982" s="2" t="s">
        <v>17</v>
      </c>
      <c r="H1982" s="2"/>
      <c r="I1982" s="3" t="n">
        <v>38869</v>
      </c>
      <c r="J1982" s="2" t="s">
        <v>19</v>
      </c>
      <c r="K1982" s="2"/>
      <c r="L1982" s="2"/>
    </row>
    <row r="1983" customFormat="false" ht="13.35" hidden="false" customHeight="true" outlineLevel="0" collapsed="false">
      <c r="A1983" s="5" t="str">
        <f aca="false">HYPERLINK("https://www.fabsurplus.com/sdi_catalog/salesItemDetails.do?id=102344")</f>
        <v>https://www.fabsurplus.com/sdi_catalog/salesItemDetails.do?id=102344</v>
      </c>
      <c r="B1983" s="5" t="s">
        <v>5445</v>
      </c>
      <c r="C1983" s="5" t="s">
        <v>5434</v>
      </c>
      <c r="D1983" s="5" t="s">
        <v>5444</v>
      </c>
      <c r="E1983" s="5" t="s">
        <v>1572</v>
      </c>
      <c r="F1983" s="5" t="s">
        <v>16</v>
      </c>
      <c r="G1983" s="5" t="s">
        <v>17</v>
      </c>
      <c r="H1983" s="5"/>
      <c r="I1983" s="6" t="n">
        <v>39234</v>
      </c>
      <c r="J1983" s="5" t="s">
        <v>19</v>
      </c>
      <c r="K1983" s="5"/>
      <c r="L1983" s="5"/>
    </row>
    <row r="1984" customFormat="false" ht="13.35" hidden="false" customHeight="true" outlineLevel="0" collapsed="false">
      <c r="A1984" s="2" t="str">
        <f aca="false">HYPERLINK("https://www.fabsurplus.com/sdi_catalog/salesItemDetails.do?id=99913")</f>
        <v>https://www.fabsurplus.com/sdi_catalog/salesItemDetails.do?id=99913</v>
      </c>
      <c r="B1984" s="2" t="s">
        <v>5446</v>
      </c>
      <c r="C1984" s="2" t="s">
        <v>5434</v>
      </c>
      <c r="D1984" s="2" t="s">
        <v>5447</v>
      </c>
      <c r="E1984" s="2" t="s">
        <v>1572</v>
      </c>
      <c r="F1984" s="2" t="s">
        <v>16</v>
      </c>
      <c r="G1984" s="2" t="s">
        <v>17</v>
      </c>
      <c r="H1984" s="2"/>
      <c r="I1984" s="3" t="n">
        <v>38869</v>
      </c>
      <c r="J1984" s="2" t="s">
        <v>19</v>
      </c>
      <c r="K1984" s="2"/>
      <c r="L1984" s="2" t="s">
        <v>3782</v>
      </c>
    </row>
    <row r="1985" customFormat="false" ht="13.35" hidden="false" customHeight="true" outlineLevel="0" collapsed="false">
      <c r="A1985" s="5" t="str">
        <f aca="false">HYPERLINK("https://www.fabsurplus.com/sdi_catalog/salesItemDetails.do?id=99914")</f>
        <v>https://www.fabsurplus.com/sdi_catalog/salesItemDetails.do?id=99914</v>
      </c>
      <c r="B1985" s="5" t="s">
        <v>5448</v>
      </c>
      <c r="C1985" s="5" t="s">
        <v>5434</v>
      </c>
      <c r="D1985" s="5" t="s">
        <v>5447</v>
      </c>
      <c r="E1985" s="5" t="s">
        <v>1572</v>
      </c>
      <c r="F1985" s="5" t="s">
        <v>16</v>
      </c>
      <c r="G1985" s="5" t="s">
        <v>17</v>
      </c>
      <c r="H1985" s="5"/>
      <c r="I1985" s="6" t="n">
        <v>38869</v>
      </c>
      <c r="J1985" s="5" t="s">
        <v>19</v>
      </c>
      <c r="K1985" s="5"/>
      <c r="L1985" s="5" t="s">
        <v>3782</v>
      </c>
    </row>
    <row r="1986" customFormat="false" ht="13.35" hidden="false" customHeight="true" outlineLevel="0" collapsed="false">
      <c r="A1986" s="2" t="str">
        <f aca="false">HYPERLINK("https://www.fabsurplus.com/sdi_catalog/salesItemDetails.do?id=94477")</f>
        <v>https://www.fabsurplus.com/sdi_catalog/salesItemDetails.do?id=94477</v>
      </c>
      <c r="B1986" s="2" t="s">
        <v>5449</v>
      </c>
      <c r="C1986" s="2" t="s">
        <v>5434</v>
      </c>
      <c r="D1986" s="2" t="s">
        <v>5447</v>
      </c>
      <c r="E1986" s="2" t="s">
        <v>5450</v>
      </c>
      <c r="F1986" s="2" t="s">
        <v>16</v>
      </c>
      <c r="G1986" s="2" t="s">
        <v>17</v>
      </c>
      <c r="H1986" s="2"/>
      <c r="I1986" s="3" t="n">
        <v>37408</v>
      </c>
      <c r="J1986" s="2" t="s">
        <v>19</v>
      </c>
      <c r="K1986" s="2"/>
      <c r="L1986" s="2" t="s">
        <v>2280</v>
      </c>
    </row>
    <row r="1987" customFormat="false" ht="13.35" hidden="false" customHeight="true" outlineLevel="0" collapsed="false">
      <c r="A1987" s="5" t="str">
        <f aca="false">HYPERLINK("https://www.fabsurplus.com/sdi_catalog/salesItemDetails.do?id=100927")</f>
        <v>https://www.fabsurplus.com/sdi_catalog/salesItemDetails.do?id=100927</v>
      </c>
      <c r="B1987" s="5" t="s">
        <v>5451</v>
      </c>
      <c r="C1987" s="5" t="s">
        <v>5434</v>
      </c>
      <c r="D1987" s="5" t="s">
        <v>5447</v>
      </c>
      <c r="E1987" s="5" t="s">
        <v>4103</v>
      </c>
      <c r="F1987" s="5" t="s">
        <v>16</v>
      </c>
      <c r="G1987" s="5" t="s">
        <v>17</v>
      </c>
      <c r="H1987" s="5"/>
      <c r="I1987" s="6" t="n">
        <v>38869</v>
      </c>
      <c r="J1987" s="5" t="s">
        <v>19</v>
      </c>
      <c r="K1987" s="5"/>
      <c r="L1987" s="5" t="s">
        <v>618</v>
      </c>
    </row>
    <row r="1988" customFormat="false" ht="13.35" hidden="false" customHeight="true" outlineLevel="0" collapsed="false">
      <c r="A1988" s="5" t="str">
        <f aca="false">HYPERLINK("https://www.fabsurplus.com/sdi_catalog/salesItemDetails.do?id=98424")</f>
        <v>https://www.fabsurplus.com/sdi_catalog/salesItemDetails.do?id=98424</v>
      </c>
      <c r="B1988" s="5" t="s">
        <v>5452</v>
      </c>
      <c r="C1988" s="5" t="s">
        <v>5453</v>
      </c>
      <c r="D1988" s="5" t="s">
        <v>5454</v>
      </c>
      <c r="E1988" s="5" t="s">
        <v>3287</v>
      </c>
      <c r="F1988" s="5" t="s">
        <v>58</v>
      </c>
      <c r="G1988" s="5" t="s">
        <v>493</v>
      </c>
      <c r="H1988" s="5"/>
      <c r="I1988" s="5"/>
      <c r="J1988" s="5" t="s">
        <v>19</v>
      </c>
      <c r="K1988" s="5"/>
      <c r="L1988" s="5" t="s">
        <v>893</v>
      </c>
    </row>
    <row r="1989" customFormat="false" ht="13.35" hidden="false" customHeight="true" outlineLevel="0" collapsed="false">
      <c r="A1989" s="5" t="str">
        <f aca="false">HYPERLINK("https://www.fabsurplus.com/sdi_catalog/salesItemDetails.do?id=103013")</f>
        <v>https://www.fabsurplus.com/sdi_catalog/salesItemDetails.do?id=103013</v>
      </c>
      <c r="B1989" s="5" t="s">
        <v>5455</v>
      </c>
      <c r="C1989" s="5" t="s">
        <v>5456</v>
      </c>
      <c r="D1989" s="5" t="s">
        <v>5457</v>
      </c>
      <c r="E1989" s="5" t="s">
        <v>2804</v>
      </c>
      <c r="F1989" s="5" t="s">
        <v>16</v>
      </c>
      <c r="G1989" s="5" t="s">
        <v>36</v>
      </c>
      <c r="H1989" s="5"/>
      <c r="I1989" s="6" t="n">
        <v>37043</v>
      </c>
      <c r="J1989" s="5" t="s">
        <v>19</v>
      </c>
      <c r="K1989" s="5"/>
      <c r="L1989" s="7" t="s">
        <v>5458</v>
      </c>
    </row>
    <row r="1990" customFormat="false" ht="13.35" hidden="false" customHeight="true" outlineLevel="0" collapsed="false">
      <c r="A1990" s="5" t="str">
        <f aca="false">HYPERLINK("https://www.fabsurplus.com/sdi_catalog/salesItemDetails.do?id=98489")</f>
        <v>https://www.fabsurplus.com/sdi_catalog/salesItemDetails.do?id=98489</v>
      </c>
      <c r="B1990" s="5" t="s">
        <v>5459</v>
      </c>
      <c r="C1990" s="5" t="s">
        <v>5460</v>
      </c>
      <c r="D1990" s="5" t="s">
        <v>5461</v>
      </c>
      <c r="E1990" s="5" t="s">
        <v>5462</v>
      </c>
      <c r="F1990" s="5" t="s">
        <v>16</v>
      </c>
      <c r="G1990" s="5" t="s">
        <v>862</v>
      </c>
      <c r="H1990" s="5"/>
      <c r="I1990" s="5"/>
      <c r="J1990" s="5" t="s">
        <v>19</v>
      </c>
      <c r="K1990" s="5"/>
      <c r="L1990" s="5" t="s">
        <v>1417</v>
      </c>
    </row>
    <row r="1991" customFormat="false" ht="13.35" hidden="false" customHeight="true" outlineLevel="0" collapsed="false">
      <c r="A1991" s="5" t="str">
        <f aca="false">HYPERLINK("https://www.fabsurplus.com/sdi_catalog/salesItemDetails.do?id=56853")</f>
        <v>https://www.fabsurplus.com/sdi_catalog/salesItemDetails.do?id=56853</v>
      </c>
      <c r="B1991" s="5" t="s">
        <v>5463</v>
      </c>
      <c r="C1991" s="5" t="s">
        <v>5464</v>
      </c>
      <c r="D1991" s="5" t="s">
        <v>5465</v>
      </c>
      <c r="E1991" s="5" t="s">
        <v>5466</v>
      </c>
      <c r="F1991" s="5" t="s">
        <v>125</v>
      </c>
      <c r="G1991" s="5" t="s">
        <v>555</v>
      </c>
      <c r="H1991" s="5" t="s">
        <v>18</v>
      </c>
      <c r="I1991" s="5"/>
      <c r="J1991" s="5" t="s">
        <v>19</v>
      </c>
      <c r="K1991" s="5" t="s">
        <v>20</v>
      </c>
      <c r="L1991" s="7" t="s">
        <v>5467</v>
      </c>
    </row>
    <row r="1992" customFormat="false" ht="13.35" hidden="false" customHeight="true" outlineLevel="0" collapsed="false">
      <c r="A1992" s="2" t="str">
        <f aca="false">HYPERLINK("https://www.fabsurplus.com/sdi_catalog/salesItemDetails.do?id=95951")</f>
        <v>https://www.fabsurplus.com/sdi_catalog/salesItemDetails.do?id=95951</v>
      </c>
      <c r="B1992" s="2" t="s">
        <v>5468</v>
      </c>
      <c r="C1992" s="2" t="s">
        <v>5464</v>
      </c>
      <c r="D1992" s="2" t="s">
        <v>5469</v>
      </c>
      <c r="E1992" s="2" t="s">
        <v>5470</v>
      </c>
      <c r="F1992" s="2" t="s">
        <v>16</v>
      </c>
      <c r="G1992" s="2" t="s">
        <v>17</v>
      </c>
      <c r="H1992" s="2" t="s">
        <v>18</v>
      </c>
      <c r="I1992" s="3" t="n">
        <v>38504</v>
      </c>
      <c r="J1992" s="2" t="s">
        <v>19</v>
      </c>
      <c r="K1992" s="2" t="s">
        <v>20</v>
      </c>
      <c r="L1992" s="4" t="s">
        <v>5471</v>
      </c>
    </row>
    <row r="1993" customFormat="false" ht="13.35" hidden="false" customHeight="true" outlineLevel="0" collapsed="false">
      <c r="A1993" s="5" t="str">
        <f aca="false">HYPERLINK("https://www.fabsurplus.com/sdi_catalog/salesItemDetails.do?id=87519")</f>
        <v>https://www.fabsurplus.com/sdi_catalog/salesItemDetails.do?id=87519</v>
      </c>
      <c r="B1993" s="5" t="s">
        <v>5472</v>
      </c>
      <c r="C1993" s="5" t="s">
        <v>5464</v>
      </c>
      <c r="D1993" s="5" t="s">
        <v>5473</v>
      </c>
      <c r="E1993" s="5" t="s">
        <v>5474</v>
      </c>
      <c r="F1993" s="5" t="s">
        <v>16</v>
      </c>
      <c r="G1993" s="5" t="s">
        <v>222</v>
      </c>
      <c r="H1993" s="5" t="s">
        <v>18</v>
      </c>
      <c r="I1993" s="5"/>
      <c r="J1993" s="5" t="s">
        <v>19</v>
      </c>
      <c r="K1993" s="5" t="s">
        <v>20</v>
      </c>
      <c r="L1993" s="5"/>
    </row>
    <row r="1994" customFormat="false" ht="13.35" hidden="false" customHeight="true" outlineLevel="0" collapsed="false">
      <c r="A1994" s="2" t="str">
        <f aca="false">HYPERLINK("https://www.fabsurplus.com/sdi_catalog/salesItemDetails.do?id=103170")</f>
        <v>https://www.fabsurplus.com/sdi_catalog/salesItemDetails.do?id=103170</v>
      </c>
      <c r="B1994" s="2" t="s">
        <v>5475</v>
      </c>
      <c r="C1994" s="2" t="s">
        <v>5476</v>
      </c>
      <c r="D1994" s="2" t="s">
        <v>5477</v>
      </c>
      <c r="E1994" s="2" t="s">
        <v>4366</v>
      </c>
      <c r="F1994" s="2" t="s">
        <v>16</v>
      </c>
      <c r="G1994" s="2" t="s">
        <v>493</v>
      </c>
      <c r="H1994" s="2"/>
      <c r="I1994" s="2"/>
      <c r="J1994" s="2" t="s">
        <v>47</v>
      </c>
      <c r="K1994" s="2"/>
      <c r="L1994" s="4" t="s">
        <v>5478</v>
      </c>
    </row>
    <row r="1995" customFormat="false" ht="13.35" hidden="false" customHeight="true" outlineLevel="0" collapsed="false">
      <c r="A1995" s="2" t="str">
        <f aca="false">HYPERLINK("https://www.fabsurplus.com/sdi_catalog/salesItemDetails.do?id=101827")</f>
        <v>https://www.fabsurplus.com/sdi_catalog/salesItemDetails.do?id=101827</v>
      </c>
      <c r="B1995" s="2" t="s">
        <v>5479</v>
      </c>
      <c r="C1995" s="2" t="s">
        <v>5480</v>
      </c>
      <c r="D1995" s="2" t="s">
        <v>5481</v>
      </c>
      <c r="E1995" s="2" t="s">
        <v>5482</v>
      </c>
      <c r="F1995" s="2" t="s">
        <v>16</v>
      </c>
      <c r="G1995" s="2" t="s">
        <v>160</v>
      </c>
      <c r="H1995" s="2" t="s">
        <v>18</v>
      </c>
      <c r="I1995" s="3" t="n">
        <v>37500</v>
      </c>
      <c r="J1995" s="2" t="s">
        <v>5483</v>
      </c>
      <c r="K1995" s="2" t="s">
        <v>20</v>
      </c>
      <c r="L1995" s="4" t="s">
        <v>5484</v>
      </c>
    </row>
    <row r="1996" customFormat="false" ht="13.35" hidden="false" customHeight="true" outlineLevel="0" collapsed="false">
      <c r="A1996" s="2" t="str">
        <f aca="false">HYPERLINK("https://www.fabsurplus.com/sdi_catalog/salesItemDetails.do?id=102378")</f>
        <v>https://www.fabsurplus.com/sdi_catalog/salesItemDetails.do?id=102378</v>
      </c>
      <c r="B1996" s="2" t="s">
        <v>5485</v>
      </c>
      <c r="C1996" s="2" t="s">
        <v>5486</v>
      </c>
      <c r="D1996" s="2" t="s">
        <v>5487</v>
      </c>
      <c r="E1996" s="2" t="s">
        <v>5488</v>
      </c>
      <c r="F1996" s="2" t="s">
        <v>16</v>
      </c>
      <c r="G1996" s="2" t="s">
        <v>17</v>
      </c>
      <c r="H1996" s="2"/>
      <c r="I1996" s="3" t="n">
        <v>38869</v>
      </c>
      <c r="J1996" s="2" t="s">
        <v>19</v>
      </c>
      <c r="K1996" s="2"/>
      <c r="L1996" s="2"/>
    </row>
    <row r="1997" customFormat="false" ht="13.35" hidden="false" customHeight="true" outlineLevel="0" collapsed="false">
      <c r="A1997" s="5" t="str">
        <f aca="false">HYPERLINK("https://www.fabsurplus.com/sdi_catalog/salesItemDetails.do?id=102347")</f>
        <v>https://www.fabsurplus.com/sdi_catalog/salesItemDetails.do?id=102347</v>
      </c>
      <c r="B1997" s="5" t="s">
        <v>5489</v>
      </c>
      <c r="C1997" s="5" t="s">
        <v>5490</v>
      </c>
      <c r="D1997" s="5" t="s">
        <v>5491</v>
      </c>
      <c r="E1997" s="5" t="s">
        <v>5492</v>
      </c>
      <c r="F1997" s="5" t="s">
        <v>16</v>
      </c>
      <c r="G1997" s="5" t="s">
        <v>17</v>
      </c>
      <c r="H1997" s="5"/>
      <c r="I1997" s="6" t="n">
        <v>38504</v>
      </c>
      <c r="J1997" s="5" t="s">
        <v>19</v>
      </c>
      <c r="K1997" s="5"/>
      <c r="L1997" s="5"/>
    </row>
    <row r="1998" customFormat="false" ht="13.35" hidden="false" customHeight="true" outlineLevel="0" collapsed="false">
      <c r="A1998" s="5" t="str">
        <f aca="false">HYPERLINK("https://www.fabsurplus.com/sdi_catalog/salesItemDetails.do?id=35595")</f>
        <v>https://www.fabsurplus.com/sdi_catalog/salesItemDetails.do?id=35595</v>
      </c>
      <c r="B1998" s="5" t="s">
        <v>5493</v>
      </c>
      <c r="C1998" s="5" t="s">
        <v>5494</v>
      </c>
      <c r="D1998" s="5" t="s">
        <v>5495</v>
      </c>
      <c r="E1998" s="5" t="s">
        <v>5496</v>
      </c>
      <c r="F1998" s="5" t="s">
        <v>16</v>
      </c>
      <c r="G1998" s="5"/>
      <c r="H1998" s="5" t="s">
        <v>592</v>
      </c>
      <c r="I1998" s="6" t="n">
        <v>35582</v>
      </c>
      <c r="J1998" s="5" t="s">
        <v>19</v>
      </c>
      <c r="K1998" s="5" t="s">
        <v>20</v>
      </c>
      <c r="L1998" s="5" t="s">
        <v>5496</v>
      </c>
    </row>
    <row r="1999" customFormat="false" ht="13.35" hidden="false" customHeight="true" outlineLevel="0" collapsed="false">
      <c r="A1999" s="5" t="str">
        <f aca="false">HYPERLINK("https://www.fabsurplus.com/sdi_catalog/salesItemDetails.do?id=99430")</f>
        <v>https://www.fabsurplus.com/sdi_catalog/salesItemDetails.do?id=99430</v>
      </c>
      <c r="B1999" s="5" t="s">
        <v>5497</v>
      </c>
      <c r="C1999" s="5" t="s">
        <v>5490</v>
      </c>
      <c r="D1999" s="5" t="s">
        <v>5498</v>
      </c>
      <c r="E1999" s="5" t="s">
        <v>5499</v>
      </c>
      <c r="F1999" s="5" t="s">
        <v>16</v>
      </c>
      <c r="G1999" s="5" t="s">
        <v>36</v>
      </c>
      <c r="H1999" s="5" t="s">
        <v>26</v>
      </c>
      <c r="I1999" s="5"/>
      <c r="J1999" s="5" t="s">
        <v>19</v>
      </c>
      <c r="K1999" s="5" t="s">
        <v>20</v>
      </c>
      <c r="L1999" s="7" t="s">
        <v>5500</v>
      </c>
    </row>
    <row r="2000" customFormat="false" ht="13.35" hidden="false" customHeight="true" outlineLevel="0" collapsed="false">
      <c r="A2000" s="5" t="str">
        <f aca="false">HYPERLINK("https://www.fabsurplus.com/sdi_catalog/salesItemDetails.do?id=83519")</f>
        <v>https://www.fabsurplus.com/sdi_catalog/salesItemDetails.do?id=83519</v>
      </c>
      <c r="B2000" s="5" t="s">
        <v>5501</v>
      </c>
      <c r="C2000" s="5" t="s">
        <v>5490</v>
      </c>
      <c r="D2000" s="5" t="s">
        <v>5498</v>
      </c>
      <c r="E2000" s="5" t="s">
        <v>5502</v>
      </c>
      <c r="F2000" s="5" t="s">
        <v>16</v>
      </c>
      <c r="G2000" s="5" t="s">
        <v>36</v>
      </c>
      <c r="H2000" s="5" t="s">
        <v>18</v>
      </c>
      <c r="I2000" s="6" t="n">
        <v>36678</v>
      </c>
      <c r="J2000" s="5" t="s">
        <v>403</v>
      </c>
      <c r="K2000" s="5" t="s">
        <v>20</v>
      </c>
      <c r="L2000" s="7" t="s">
        <v>5503</v>
      </c>
    </row>
    <row r="2001" customFormat="false" ht="13.35" hidden="false" customHeight="true" outlineLevel="0" collapsed="false">
      <c r="A2001" s="2" t="str">
        <f aca="false">HYPERLINK("https://www.fabsurplus.com/sdi_catalog/salesItemDetails.do?id=92691")</f>
        <v>https://www.fabsurplus.com/sdi_catalog/salesItemDetails.do?id=92691</v>
      </c>
      <c r="B2001" s="2" t="s">
        <v>5504</v>
      </c>
      <c r="C2001" s="2" t="s">
        <v>5490</v>
      </c>
      <c r="D2001" s="2" t="s">
        <v>5505</v>
      </c>
      <c r="E2001" s="2" t="s">
        <v>5506</v>
      </c>
      <c r="F2001" s="2" t="s">
        <v>16</v>
      </c>
      <c r="G2001" s="2" t="s">
        <v>17</v>
      </c>
      <c r="H2001" s="2" t="s">
        <v>18</v>
      </c>
      <c r="I2001" s="3" t="n">
        <v>39600</v>
      </c>
      <c r="J2001" s="2" t="s">
        <v>19</v>
      </c>
      <c r="K2001" s="2" t="s">
        <v>20</v>
      </c>
      <c r="L2001" s="4" t="s">
        <v>5507</v>
      </c>
    </row>
    <row r="2002" customFormat="false" ht="13.35" hidden="false" customHeight="true" outlineLevel="0" collapsed="false">
      <c r="A2002" s="2" t="str">
        <f aca="false">HYPERLINK("https://www.fabsurplus.com/sdi_catalog/salesItemDetails.do?id=102348")</f>
        <v>https://www.fabsurplus.com/sdi_catalog/salesItemDetails.do?id=102348</v>
      </c>
      <c r="B2002" s="2" t="s">
        <v>5508</v>
      </c>
      <c r="C2002" s="2" t="s">
        <v>5490</v>
      </c>
      <c r="D2002" s="2" t="s">
        <v>5509</v>
      </c>
      <c r="E2002" s="2" t="s">
        <v>5510</v>
      </c>
      <c r="F2002" s="2" t="s">
        <v>16</v>
      </c>
      <c r="G2002" s="2" t="s">
        <v>36</v>
      </c>
      <c r="H2002" s="2"/>
      <c r="I2002" s="3" t="n">
        <v>35217</v>
      </c>
      <c r="J2002" s="2" t="s">
        <v>19</v>
      </c>
      <c r="K2002" s="2"/>
      <c r="L2002" s="2"/>
    </row>
    <row r="2003" customFormat="false" ht="13.35" hidden="false" customHeight="true" outlineLevel="0" collapsed="false">
      <c r="A2003" s="5" t="str">
        <f aca="false">HYPERLINK("https://www.fabsurplus.com/sdi_catalog/salesItemDetails.do?id=102349")</f>
        <v>https://www.fabsurplus.com/sdi_catalog/salesItemDetails.do?id=102349</v>
      </c>
      <c r="B2003" s="5" t="s">
        <v>5511</v>
      </c>
      <c r="C2003" s="5" t="s">
        <v>5490</v>
      </c>
      <c r="D2003" s="5" t="s">
        <v>5509</v>
      </c>
      <c r="E2003" s="5" t="s">
        <v>5512</v>
      </c>
      <c r="F2003" s="5" t="s">
        <v>16</v>
      </c>
      <c r="G2003" s="5" t="s">
        <v>36</v>
      </c>
      <c r="H2003" s="5"/>
      <c r="I2003" s="6" t="n">
        <v>35217</v>
      </c>
      <c r="J2003" s="5" t="s">
        <v>19</v>
      </c>
      <c r="K2003" s="5"/>
      <c r="L2003" s="5"/>
    </row>
    <row r="2004" customFormat="false" ht="13.35" hidden="false" customHeight="true" outlineLevel="0" collapsed="false">
      <c r="A2004" s="2" t="str">
        <f aca="false">HYPERLINK("https://www.fabsurplus.com/sdi_catalog/salesItemDetails.do?id=102350")</f>
        <v>https://www.fabsurplus.com/sdi_catalog/salesItemDetails.do?id=102350</v>
      </c>
      <c r="B2004" s="2" t="s">
        <v>5513</v>
      </c>
      <c r="C2004" s="2" t="s">
        <v>5490</v>
      </c>
      <c r="D2004" s="2" t="s">
        <v>5514</v>
      </c>
      <c r="E2004" s="2" t="s">
        <v>5492</v>
      </c>
      <c r="F2004" s="2" t="s">
        <v>16</v>
      </c>
      <c r="G2004" s="2" t="s">
        <v>36</v>
      </c>
      <c r="H2004" s="2"/>
      <c r="I2004" s="3" t="n">
        <v>36312</v>
      </c>
      <c r="J2004" s="2" t="s">
        <v>19</v>
      </c>
      <c r="K2004" s="2"/>
      <c r="L2004" s="2"/>
    </row>
    <row r="2005" customFormat="false" ht="13.35" hidden="false" customHeight="true" outlineLevel="0" collapsed="false">
      <c r="A2005" s="5" t="str">
        <f aca="false">HYPERLINK("https://www.fabsurplus.com/sdi_catalog/salesItemDetails.do?id=101802")</f>
        <v>https://www.fabsurplus.com/sdi_catalog/salesItemDetails.do?id=101802</v>
      </c>
      <c r="B2005" s="5" t="s">
        <v>5515</v>
      </c>
      <c r="C2005" s="5" t="s">
        <v>5516</v>
      </c>
      <c r="D2005" s="5" t="s">
        <v>5517</v>
      </c>
      <c r="E2005" s="5" t="s">
        <v>5518</v>
      </c>
      <c r="F2005" s="5" t="s">
        <v>16</v>
      </c>
      <c r="G2005" s="5" t="s">
        <v>36</v>
      </c>
      <c r="H2005" s="5"/>
      <c r="I2005" s="5"/>
      <c r="J2005" s="5" t="s">
        <v>47</v>
      </c>
      <c r="K2005" s="5"/>
      <c r="L2005" s="5"/>
    </row>
    <row r="2006" customFormat="false" ht="13.35" hidden="false" customHeight="true" outlineLevel="0" collapsed="false">
      <c r="A2006" s="2" t="str">
        <f aca="false">HYPERLINK("https://www.fabsurplus.com/sdi_catalog/salesItemDetails.do?id=102351")</f>
        <v>https://www.fabsurplus.com/sdi_catalog/salesItemDetails.do?id=102351</v>
      </c>
      <c r="B2006" s="2" t="s">
        <v>5519</v>
      </c>
      <c r="C2006" s="2" t="s">
        <v>5520</v>
      </c>
      <c r="D2006" s="2" t="s">
        <v>5521</v>
      </c>
      <c r="E2006" s="2" t="s">
        <v>5522</v>
      </c>
      <c r="F2006" s="2" t="s">
        <v>16</v>
      </c>
      <c r="G2006" s="2" t="s">
        <v>17</v>
      </c>
      <c r="H2006" s="2"/>
      <c r="I2006" s="3" t="n">
        <v>39234</v>
      </c>
      <c r="J2006" s="2" t="s">
        <v>19</v>
      </c>
      <c r="K2006" s="2"/>
      <c r="L2006" s="2"/>
    </row>
    <row r="2007" customFormat="false" ht="13.35" hidden="false" customHeight="true" outlineLevel="0" collapsed="false">
      <c r="A2007" s="5" t="str">
        <f aca="false">HYPERLINK("https://www.fabsurplus.com/sdi_catalog/salesItemDetails.do?id=102353")</f>
        <v>https://www.fabsurplus.com/sdi_catalog/salesItemDetails.do?id=102353</v>
      </c>
      <c r="B2007" s="5" t="s">
        <v>5523</v>
      </c>
      <c r="C2007" s="5" t="s">
        <v>5524</v>
      </c>
      <c r="D2007" s="5" t="s">
        <v>5525</v>
      </c>
      <c r="E2007" s="5" t="s">
        <v>1522</v>
      </c>
      <c r="F2007" s="5" t="s">
        <v>16</v>
      </c>
      <c r="G2007" s="5" t="s">
        <v>17</v>
      </c>
      <c r="H2007" s="5"/>
      <c r="I2007" s="5"/>
      <c r="J2007" s="5" t="s">
        <v>19</v>
      </c>
      <c r="K2007" s="5"/>
      <c r="L2007" s="5"/>
    </row>
    <row r="2008" customFormat="false" ht="13.35" hidden="false" customHeight="true" outlineLevel="0" collapsed="false">
      <c r="A2008" s="5" t="str">
        <f aca="false">HYPERLINK("https://www.fabsurplus.com/sdi_catalog/salesItemDetails.do?id=102562")</f>
        <v>https://www.fabsurplus.com/sdi_catalog/salesItemDetails.do?id=102562</v>
      </c>
      <c r="B2008" s="5" t="s">
        <v>5526</v>
      </c>
      <c r="C2008" s="5" t="s">
        <v>5527</v>
      </c>
      <c r="D2008" s="5" t="s">
        <v>5528</v>
      </c>
      <c r="E2008" s="5" t="s">
        <v>5529</v>
      </c>
      <c r="F2008" s="5" t="s">
        <v>16</v>
      </c>
      <c r="G2008" s="5" t="s">
        <v>862</v>
      </c>
      <c r="H2008" s="5"/>
      <c r="I2008" s="5"/>
      <c r="J2008" s="5" t="s">
        <v>47</v>
      </c>
      <c r="K2008" s="5"/>
      <c r="L2008" s="5"/>
    </row>
    <row r="2009" customFormat="false" ht="13.35" hidden="false" customHeight="true" outlineLevel="0" collapsed="false">
      <c r="A2009" s="2" t="str">
        <f aca="false">HYPERLINK("https://www.fabsurplus.com/sdi_catalog/salesItemDetails.do?id=98490")</f>
        <v>https://www.fabsurplus.com/sdi_catalog/salesItemDetails.do?id=98490</v>
      </c>
      <c r="B2009" s="2" t="s">
        <v>5530</v>
      </c>
      <c r="C2009" s="2" t="s">
        <v>5527</v>
      </c>
      <c r="D2009" s="2" t="s">
        <v>5531</v>
      </c>
      <c r="E2009" s="2" t="s">
        <v>1763</v>
      </c>
      <c r="F2009" s="2" t="s">
        <v>16</v>
      </c>
      <c r="G2009" s="2" t="s">
        <v>862</v>
      </c>
      <c r="H2009" s="2"/>
      <c r="I2009" s="2"/>
      <c r="J2009" s="2" t="s">
        <v>19</v>
      </c>
      <c r="K2009" s="2"/>
      <c r="L2009" s="2" t="s">
        <v>1417</v>
      </c>
    </row>
    <row r="2010" customFormat="false" ht="13.35" hidden="false" customHeight="true" outlineLevel="0" collapsed="false">
      <c r="A2010" s="5" t="str">
        <f aca="false">HYPERLINK("https://www.fabsurplus.com/sdi_catalog/salesItemDetails.do?id=98491")</f>
        <v>https://www.fabsurplus.com/sdi_catalog/salesItemDetails.do?id=98491</v>
      </c>
      <c r="B2010" s="5" t="s">
        <v>5532</v>
      </c>
      <c r="C2010" s="5" t="s">
        <v>5527</v>
      </c>
      <c r="D2010" s="5" t="s">
        <v>5533</v>
      </c>
      <c r="E2010" s="5" t="s">
        <v>1763</v>
      </c>
      <c r="F2010" s="5" t="s">
        <v>16</v>
      </c>
      <c r="G2010" s="5" t="s">
        <v>862</v>
      </c>
      <c r="H2010" s="5"/>
      <c r="I2010" s="5"/>
      <c r="J2010" s="5" t="s">
        <v>19</v>
      </c>
      <c r="K2010" s="5"/>
      <c r="L2010" s="5" t="s">
        <v>1417</v>
      </c>
    </row>
    <row r="2011" customFormat="false" ht="13.35" hidden="false" customHeight="true" outlineLevel="0" collapsed="false">
      <c r="A2011" s="2" t="str">
        <f aca="false">HYPERLINK("https://www.fabsurplus.com/sdi_catalog/salesItemDetails.do?id=98492")</f>
        <v>https://www.fabsurplus.com/sdi_catalog/salesItemDetails.do?id=98492</v>
      </c>
      <c r="B2011" s="2" t="s">
        <v>5534</v>
      </c>
      <c r="C2011" s="2" t="s">
        <v>5527</v>
      </c>
      <c r="D2011" s="2" t="s">
        <v>5535</v>
      </c>
      <c r="E2011" s="2" t="s">
        <v>1763</v>
      </c>
      <c r="F2011" s="2" t="s">
        <v>16</v>
      </c>
      <c r="G2011" s="2" t="s">
        <v>862</v>
      </c>
      <c r="H2011" s="2"/>
      <c r="I2011" s="2"/>
      <c r="J2011" s="2" t="s">
        <v>19</v>
      </c>
      <c r="K2011" s="2"/>
      <c r="L2011" s="2" t="s">
        <v>1417</v>
      </c>
    </row>
    <row r="2012" customFormat="false" ht="13.35" hidden="false" customHeight="true" outlineLevel="0" collapsed="false">
      <c r="A2012" s="5" t="str">
        <f aca="false">HYPERLINK("https://www.fabsurplus.com/sdi_catalog/salesItemDetails.do?id=101672")</f>
        <v>https://www.fabsurplus.com/sdi_catalog/salesItemDetails.do?id=101672</v>
      </c>
      <c r="B2012" s="5" t="s">
        <v>5536</v>
      </c>
      <c r="C2012" s="5" t="s">
        <v>5524</v>
      </c>
      <c r="D2012" s="5" t="s">
        <v>5537</v>
      </c>
      <c r="E2012" s="5" t="s">
        <v>5538</v>
      </c>
      <c r="F2012" s="5" t="s">
        <v>16</v>
      </c>
      <c r="G2012" s="5" t="s">
        <v>154</v>
      </c>
      <c r="H2012" s="5"/>
      <c r="I2012" s="5"/>
      <c r="J2012" s="5" t="s">
        <v>19</v>
      </c>
      <c r="K2012" s="5"/>
      <c r="L2012" s="5"/>
    </row>
    <row r="2013" customFormat="false" ht="13.35" hidden="false" customHeight="true" outlineLevel="0" collapsed="false">
      <c r="A2013" s="2" t="str">
        <f aca="false">HYPERLINK("https://www.fabsurplus.com/sdi_catalog/salesItemDetails.do?id=91574")</f>
        <v>https://www.fabsurplus.com/sdi_catalog/salesItemDetails.do?id=91574</v>
      </c>
      <c r="B2013" s="2" t="s">
        <v>5539</v>
      </c>
      <c r="C2013" s="2" t="s">
        <v>5524</v>
      </c>
      <c r="D2013" s="2" t="s">
        <v>5540</v>
      </c>
      <c r="E2013" s="2" t="s">
        <v>5541</v>
      </c>
      <c r="F2013" s="2" t="s">
        <v>16</v>
      </c>
      <c r="G2013" s="2" t="s">
        <v>17</v>
      </c>
      <c r="H2013" s="2" t="s">
        <v>26</v>
      </c>
      <c r="I2013" s="3" t="n">
        <v>37408</v>
      </c>
      <c r="J2013" s="2" t="s">
        <v>19</v>
      </c>
      <c r="K2013" s="2" t="s">
        <v>20</v>
      </c>
      <c r="L2013" s="4" t="s">
        <v>5542</v>
      </c>
    </row>
    <row r="2014" customFormat="false" ht="13.35" hidden="false" customHeight="true" outlineLevel="0" collapsed="false">
      <c r="A2014" s="5" t="str">
        <f aca="false">HYPERLINK("https://www.fabsurplus.com/sdi_catalog/salesItemDetails.do?id=91575")</f>
        <v>https://www.fabsurplus.com/sdi_catalog/salesItemDetails.do?id=91575</v>
      </c>
      <c r="B2014" s="5" t="s">
        <v>5543</v>
      </c>
      <c r="C2014" s="5" t="s">
        <v>5524</v>
      </c>
      <c r="D2014" s="5" t="s">
        <v>5540</v>
      </c>
      <c r="E2014" s="5" t="s">
        <v>5541</v>
      </c>
      <c r="F2014" s="5" t="s">
        <v>16</v>
      </c>
      <c r="G2014" s="5" t="s">
        <v>17</v>
      </c>
      <c r="H2014" s="5" t="s">
        <v>18</v>
      </c>
      <c r="I2014" s="6" t="n">
        <v>37773</v>
      </c>
      <c r="J2014" s="5" t="s">
        <v>19</v>
      </c>
      <c r="K2014" s="5" t="s">
        <v>20</v>
      </c>
      <c r="L2014" s="7" t="s">
        <v>5542</v>
      </c>
    </row>
    <row r="2015" customFormat="false" ht="13.35" hidden="false" customHeight="true" outlineLevel="0" collapsed="false">
      <c r="A2015" s="2" t="str">
        <f aca="false">HYPERLINK("https://www.fabsurplus.com/sdi_catalog/salesItemDetails.do?id=102354")</f>
        <v>https://www.fabsurplus.com/sdi_catalog/salesItemDetails.do?id=102354</v>
      </c>
      <c r="B2015" s="2" t="s">
        <v>5544</v>
      </c>
      <c r="C2015" s="2" t="s">
        <v>5524</v>
      </c>
      <c r="D2015" s="2" t="s">
        <v>5545</v>
      </c>
      <c r="E2015" s="2" t="s">
        <v>5546</v>
      </c>
      <c r="F2015" s="2" t="s">
        <v>16</v>
      </c>
      <c r="G2015" s="2"/>
      <c r="H2015" s="2"/>
      <c r="I2015" s="3" t="n">
        <v>42887</v>
      </c>
      <c r="J2015" s="2" t="s">
        <v>19</v>
      </c>
      <c r="K2015" s="2"/>
      <c r="L2015" s="2"/>
    </row>
    <row r="2016" customFormat="false" ht="13.35" hidden="false" customHeight="true" outlineLevel="0" collapsed="false">
      <c r="A2016" s="2" t="str">
        <f aca="false">HYPERLINK("https://www.fabsurplus.com/sdi_catalog/salesItemDetails.do?id=103139")</f>
        <v>https://www.fabsurplus.com/sdi_catalog/salesItemDetails.do?id=103139</v>
      </c>
      <c r="B2016" s="2" t="s">
        <v>5547</v>
      </c>
      <c r="C2016" s="2" t="s">
        <v>5527</v>
      </c>
      <c r="D2016" s="2" t="s">
        <v>1522</v>
      </c>
      <c r="E2016" s="2" t="s">
        <v>5548</v>
      </c>
      <c r="F2016" s="2" t="s">
        <v>58</v>
      </c>
      <c r="G2016" s="2" t="s">
        <v>17</v>
      </c>
      <c r="H2016" s="2" t="s">
        <v>26</v>
      </c>
      <c r="I2016" s="2"/>
      <c r="J2016" s="2" t="s">
        <v>19</v>
      </c>
      <c r="K2016" s="2" t="s">
        <v>20</v>
      </c>
      <c r="L2016" s="2" t="s">
        <v>1417</v>
      </c>
    </row>
    <row r="2017" customFormat="false" ht="13.35" hidden="false" customHeight="true" outlineLevel="0" collapsed="false">
      <c r="A2017" s="2" t="str">
        <f aca="false">HYPERLINK("https://www.fabsurplus.com/sdi_catalog/salesItemDetails.do?id=102485")</f>
        <v>https://www.fabsurplus.com/sdi_catalog/salesItemDetails.do?id=102485</v>
      </c>
      <c r="B2017" s="2" t="s">
        <v>5549</v>
      </c>
      <c r="C2017" s="2" t="s">
        <v>5550</v>
      </c>
      <c r="D2017" s="2" t="s">
        <v>5551</v>
      </c>
      <c r="E2017" s="2" t="s">
        <v>5552</v>
      </c>
      <c r="F2017" s="2" t="s">
        <v>16</v>
      </c>
      <c r="G2017" s="2" t="s">
        <v>1817</v>
      </c>
      <c r="H2017" s="2" t="s">
        <v>1974</v>
      </c>
      <c r="I2017" s="3" t="n">
        <v>40330</v>
      </c>
      <c r="J2017" s="2" t="s">
        <v>19</v>
      </c>
      <c r="K2017" s="2" t="s">
        <v>20</v>
      </c>
      <c r="L2017" s="4" t="s">
        <v>5553</v>
      </c>
    </row>
    <row r="2018" customFormat="false" ht="13.35" hidden="false" customHeight="true" outlineLevel="0" collapsed="false">
      <c r="A2018" s="2" t="str">
        <f aca="false">HYPERLINK("https://www.fabsurplus.com/sdi_catalog/salesItemDetails.do?id=102355")</f>
        <v>https://www.fabsurplus.com/sdi_catalog/salesItemDetails.do?id=102355</v>
      </c>
      <c r="B2018" s="2" t="s">
        <v>5554</v>
      </c>
      <c r="C2018" s="2" t="s">
        <v>5555</v>
      </c>
      <c r="D2018" s="2" t="s">
        <v>5556</v>
      </c>
      <c r="E2018" s="2" t="s">
        <v>5557</v>
      </c>
      <c r="F2018" s="2" t="s">
        <v>16</v>
      </c>
      <c r="G2018" s="2" t="s">
        <v>17</v>
      </c>
      <c r="H2018" s="2"/>
      <c r="I2018" s="3" t="n">
        <v>39600</v>
      </c>
      <c r="J2018" s="2" t="s">
        <v>19</v>
      </c>
      <c r="K2018" s="2"/>
      <c r="L2018" s="2"/>
    </row>
    <row r="2019" customFormat="false" ht="13.35" hidden="false" customHeight="true" outlineLevel="0" collapsed="false">
      <c r="A2019" s="2" t="str">
        <f aca="false">HYPERLINK("https://www.fabsurplus.com/sdi_catalog/salesItemDetails.do?id=101348")</f>
        <v>https://www.fabsurplus.com/sdi_catalog/salesItemDetails.do?id=101348</v>
      </c>
      <c r="B2019" s="2" t="s">
        <v>5558</v>
      </c>
      <c r="C2019" s="2" t="s">
        <v>5555</v>
      </c>
      <c r="D2019" s="2" t="s">
        <v>5559</v>
      </c>
      <c r="E2019" s="2" t="s">
        <v>5560</v>
      </c>
      <c r="F2019" s="2" t="s">
        <v>16</v>
      </c>
      <c r="G2019" s="2" t="s">
        <v>2640</v>
      </c>
      <c r="H2019" s="2"/>
      <c r="I2019" s="2"/>
      <c r="J2019" s="2" t="s">
        <v>19</v>
      </c>
      <c r="K2019" s="2"/>
      <c r="L2019" s="2"/>
    </row>
    <row r="2020" customFormat="false" ht="13.35" hidden="false" customHeight="true" outlineLevel="0" collapsed="false">
      <c r="A2020" s="2" t="str">
        <f aca="false">HYPERLINK("https://www.fabsurplus.com/sdi_catalog/salesItemDetails.do?id=101803")</f>
        <v>https://www.fabsurplus.com/sdi_catalog/salesItemDetails.do?id=101803</v>
      </c>
      <c r="B2020" s="2" t="s">
        <v>5561</v>
      </c>
      <c r="C2020" s="2" t="s">
        <v>5555</v>
      </c>
      <c r="D2020" s="2" t="s">
        <v>5562</v>
      </c>
      <c r="E2020" s="2" t="s">
        <v>5563</v>
      </c>
      <c r="F2020" s="2" t="s">
        <v>16</v>
      </c>
      <c r="G2020" s="2" t="s">
        <v>17</v>
      </c>
      <c r="H2020" s="2"/>
      <c r="I2020" s="3" t="n">
        <v>39234</v>
      </c>
      <c r="J2020" s="2" t="s">
        <v>47</v>
      </c>
      <c r="K2020" s="2"/>
      <c r="L2020" s="2"/>
    </row>
    <row r="2021" customFormat="false" ht="13.35" hidden="false" customHeight="true" outlineLevel="0" collapsed="false">
      <c r="A2021" s="5" t="str">
        <f aca="false">HYPERLINK("https://www.fabsurplus.com/sdi_catalog/salesItemDetails.do?id=102356")</f>
        <v>https://www.fabsurplus.com/sdi_catalog/salesItemDetails.do?id=102356</v>
      </c>
      <c r="B2021" s="5" t="s">
        <v>5564</v>
      </c>
      <c r="C2021" s="5" t="s">
        <v>5555</v>
      </c>
      <c r="D2021" s="5" t="s">
        <v>5565</v>
      </c>
      <c r="E2021" s="5" t="s">
        <v>5566</v>
      </c>
      <c r="F2021" s="5" t="s">
        <v>16</v>
      </c>
      <c r="G2021" s="5" t="s">
        <v>17</v>
      </c>
      <c r="H2021" s="5"/>
      <c r="I2021" s="6" t="n">
        <v>38504</v>
      </c>
      <c r="J2021" s="5" t="s">
        <v>19</v>
      </c>
      <c r="K2021" s="5"/>
      <c r="L2021" s="5"/>
    </row>
    <row r="2022" customFormat="false" ht="13.35" hidden="false" customHeight="true" outlineLevel="0" collapsed="false">
      <c r="A2022" s="5" t="str">
        <f aca="false">HYPERLINK("https://www.fabsurplus.com/sdi_catalog/salesItemDetails.do?id=100928")</f>
        <v>https://www.fabsurplus.com/sdi_catalog/salesItemDetails.do?id=100928</v>
      </c>
      <c r="B2022" s="5" t="s">
        <v>5567</v>
      </c>
      <c r="C2022" s="5" t="s">
        <v>5568</v>
      </c>
      <c r="D2022" s="5" t="s">
        <v>5569</v>
      </c>
      <c r="E2022" s="5" t="s">
        <v>5570</v>
      </c>
      <c r="F2022" s="5" t="s">
        <v>16</v>
      </c>
      <c r="G2022" s="5" t="s">
        <v>17</v>
      </c>
      <c r="H2022" s="5"/>
      <c r="I2022" s="6" t="n">
        <v>37773</v>
      </c>
      <c r="J2022" s="5" t="s">
        <v>19</v>
      </c>
      <c r="K2022" s="5"/>
      <c r="L2022" s="5" t="s">
        <v>618</v>
      </c>
    </row>
    <row r="2023" customFormat="false" ht="13.35" hidden="false" customHeight="true" outlineLevel="0" collapsed="false">
      <c r="A2023" s="5" t="str">
        <f aca="false">HYPERLINK("https://www.fabsurplus.com/sdi_catalog/salesItemDetails.do?id=98835")</f>
        <v>https://www.fabsurplus.com/sdi_catalog/salesItemDetails.do?id=98835</v>
      </c>
      <c r="B2023" s="5" t="s">
        <v>5571</v>
      </c>
      <c r="C2023" s="5" t="s">
        <v>5568</v>
      </c>
      <c r="D2023" s="5" t="s">
        <v>5569</v>
      </c>
      <c r="E2023" s="5" t="s">
        <v>5572</v>
      </c>
      <c r="F2023" s="5" t="s">
        <v>16</v>
      </c>
      <c r="G2023" s="5" t="s">
        <v>17</v>
      </c>
      <c r="H2023" s="5" t="s">
        <v>26</v>
      </c>
      <c r="I2023" s="6" t="n">
        <v>38169</v>
      </c>
      <c r="J2023" s="5" t="s">
        <v>19</v>
      </c>
      <c r="K2023" s="5" t="s">
        <v>20</v>
      </c>
      <c r="L2023" s="5" t="s">
        <v>474</v>
      </c>
    </row>
    <row r="2024" customFormat="false" ht="13.35" hidden="false" customHeight="true" outlineLevel="0" collapsed="false">
      <c r="A2024" s="2" t="str">
        <f aca="false">HYPERLINK("https://www.fabsurplus.com/sdi_catalog/salesItemDetails.do?id=101349")</f>
        <v>https://www.fabsurplus.com/sdi_catalog/salesItemDetails.do?id=101349</v>
      </c>
      <c r="B2024" s="2" t="s">
        <v>5573</v>
      </c>
      <c r="C2024" s="2" t="s">
        <v>5555</v>
      </c>
      <c r="D2024" s="2" t="s">
        <v>5574</v>
      </c>
      <c r="E2024" s="2" t="s">
        <v>3313</v>
      </c>
      <c r="F2024" s="2" t="s">
        <v>16</v>
      </c>
      <c r="G2024" s="2"/>
      <c r="H2024" s="2"/>
      <c r="I2024" s="2"/>
      <c r="J2024" s="2" t="s">
        <v>19</v>
      </c>
      <c r="K2024" s="2"/>
      <c r="L2024" s="2"/>
    </row>
    <row r="2025" customFormat="false" ht="13.35" hidden="false" customHeight="true" outlineLevel="0" collapsed="false">
      <c r="A2025" s="5" t="str">
        <f aca="false">HYPERLINK("https://www.fabsurplus.com/sdi_catalog/salesItemDetails.do?id=94478")</f>
        <v>https://www.fabsurplus.com/sdi_catalog/salesItemDetails.do?id=94478</v>
      </c>
      <c r="B2025" s="5" t="s">
        <v>5575</v>
      </c>
      <c r="C2025" s="5" t="s">
        <v>5568</v>
      </c>
      <c r="D2025" s="5" t="s">
        <v>5576</v>
      </c>
      <c r="E2025" s="5" t="s">
        <v>5577</v>
      </c>
      <c r="F2025" s="5" t="s">
        <v>16</v>
      </c>
      <c r="G2025" s="5" t="s">
        <v>36</v>
      </c>
      <c r="H2025" s="5"/>
      <c r="I2025" s="5"/>
      <c r="J2025" s="5" t="s">
        <v>19</v>
      </c>
      <c r="K2025" s="5"/>
      <c r="L2025" s="5"/>
    </row>
    <row r="2026" customFormat="false" ht="13.35" hidden="false" customHeight="true" outlineLevel="0" collapsed="false">
      <c r="A2026" s="2" t="str">
        <f aca="false">HYPERLINK("https://www.fabsurplus.com/sdi_catalog/salesItemDetails.do?id=94479")</f>
        <v>https://www.fabsurplus.com/sdi_catalog/salesItemDetails.do?id=94479</v>
      </c>
      <c r="B2026" s="2" t="s">
        <v>5578</v>
      </c>
      <c r="C2026" s="2" t="s">
        <v>5568</v>
      </c>
      <c r="D2026" s="2" t="s">
        <v>5579</v>
      </c>
      <c r="E2026" s="2" t="s">
        <v>5577</v>
      </c>
      <c r="F2026" s="2" t="s">
        <v>16</v>
      </c>
      <c r="G2026" s="2" t="s">
        <v>36</v>
      </c>
      <c r="H2026" s="2"/>
      <c r="I2026" s="2"/>
      <c r="J2026" s="2" t="s">
        <v>19</v>
      </c>
      <c r="K2026" s="2"/>
      <c r="L2026" s="2"/>
    </row>
    <row r="2027" customFormat="false" ht="13.35" hidden="false" customHeight="true" outlineLevel="0" collapsed="false">
      <c r="A2027" s="2" t="str">
        <f aca="false">HYPERLINK("https://www.fabsurplus.com/sdi_catalog/salesItemDetails.do?id=100929")</f>
        <v>https://www.fabsurplus.com/sdi_catalog/salesItemDetails.do?id=100929</v>
      </c>
      <c r="B2027" s="2" t="s">
        <v>5580</v>
      </c>
      <c r="C2027" s="2" t="s">
        <v>5568</v>
      </c>
      <c r="D2027" s="2" t="s">
        <v>5581</v>
      </c>
      <c r="E2027" s="2" t="s">
        <v>5582</v>
      </c>
      <c r="F2027" s="2" t="s">
        <v>16</v>
      </c>
      <c r="G2027" s="2" t="s">
        <v>36</v>
      </c>
      <c r="H2027" s="2"/>
      <c r="I2027" s="3" t="n">
        <v>35217</v>
      </c>
      <c r="J2027" s="2" t="s">
        <v>19</v>
      </c>
      <c r="K2027" s="2"/>
      <c r="L2027" s="2" t="s">
        <v>618</v>
      </c>
    </row>
    <row r="2028" customFormat="false" ht="13.35" hidden="false" customHeight="true" outlineLevel="0" collapsed="false">
      <c r="A2028" s="2" t="str">
        <f aca="false">HYPERLINK("https://www.fabsurplus.com/sdi_catalog/salesItemDetails.do?id=101804")</f>
        <v>https://www.fabsurplus.com/sdi_catalog/salesItemDetails.do?id=101804</v>
      </c>
      <c r="B2028" s="2" t="s">
        <v>5583</v>
      </c>
      <c r="C2028" s="2" t="s">
        <v>5555</v>
      </c>
      <c r="D2028" s="2" t="s">
        <v>5584</v>
      </c>
      <c r="E2028" s="2" t="s">
        <v>5585</v>
      </c>
      <c r="F2028" s="2" t="s">
        <v>16</v>
      </c>
      <c r="G2028" s="2" t="s">
        <v>36</v>
      </c>
      <c r="H2028" s="2"/>
      <c r="I2028" s="3" t="n">
        <v>34790</v>
      </c>
      <c r="J2028" s="2" t="s">
        <v>47</v>
      </c>
      <c r="K2028" s="2"/>
      <c r="L2028" s="2"/>
    </row>
    <row r="2029" customFormat="false" ht="13.35" hidden="false" customHeight="true" outlineLevel="0" collapsed="false">
      <c r="A2029" s="5" t="str">
        <f aca="false">HYPERLINK("https://www.fabsurplus.com/sdi_catalog/salesItemDetails.do?id=101805")</f>
        <v>https://www.fabsurplus.com/sdi_catalog/salesItemDetails.do?id=101805</v>
      </c>
      <c r="B2029" s="5" t="s">
        <v>5586</v>
      </c>
      <c r="C2029" s="5" t="s">
        <v>5555</v>
      </c>
      <c r="D2029" s="5" t="s">
        <v>5587</v>
      </c>
      <c r="E2029" s="5" t="s">
        <v>5585</v>
      </c>
      <c r="F2029" s="5" t="s">
        <v>16</v>
      </c>
      <c r="G2029" s="5" t="s">
        <v>36</v>
      </c>
      <c r="H2029" s="5"/>
      <c r="I2029" s="6" t="n">
        <v>37347</v>
      </c>
      <c r="J2029" s="5" t="s">
        <v>47</v>
      </c>
      <c r="K2029" s="5"/>
      <c r="L2029" s="5"/>
    </row>
    <row r="2030" customFormat="false" ht="13.35" hidden="false" customHeight="true" outlineLevel="0" collapsed="false">
      <c r="A2030" s="5" t="str">
        <f aca="false">HYPERLINK("https://www.fabsurplus.com/sdi_catalog/salesItemDetails.do?id=91563")</f>
        <v>https://www.fabsurplus.com/sdi_catalog/salesItemDetails.do?id=91563</v>
      </c>
      <c r="B2030" s="5" t="s">
        <v>5588</v>
      </c>
      <c r="C2030" s="5" t="s">
        <v>5568</v>
      </c>
      <c r="D2030" s="5" t="s">
        <v>5589</v>
      </c>
      <c r="E2030" s="5" t="s">
        <v>5590</v>
      </c>
      <c r="F2030" s="5" t="s">
        <v>16</v>
      </c>
      <c r="G2030" s="5" t="s">
        <v>36</v>
      </c>
      <c r="H2030" s="5"/>
      <c r="I2030" s="6" t="n">
        <v>38504</v>
      </c>
      <c r="J2030" s="5" t="s">
        <v>19</v>
      </c>
      <c r="K2030" s="5"/>
      <c r="L2030" s="5" t="s">
        <v>112</v>
      </c>
    </row>
    <row r="2031" customFormat="false" ht="13.35" hidden="false" customHeight="true" outlineLevel="0" collapsed="false">
      <c r="A2031" s="5" t="str">
        <f aca="false">HYPERLINK("https://www.fabsurplus.com/sdi_catalog/salesItemDetails.do?id=91564")</f>
        <v>https://www.fabsurplus.com/sdi_catalog/salesItemDetails.do?id=91564</v>
      </c>
      <c r="B2031" s="5" t="s">
        <v>5591</v>
      </c>
      <c r="C2031" s="5" t="s">
        <v>5568</v>
      </c>
      <c r="D2031" s="5" t="s">
        <v>5592</v>
      </c>
      <c r="E2031" s="5" t="s">
        <v>5590</v>
      </c>
      <c r="F2031" s="5" t="s">
        <v>16</v>
      </c>
      <c r="G2031" s="5" t="s">
        <v>36</v>
      </c>
      <c r="H2031" s="5"/>
      <c r="I2031" s="5"/>
      <c r="J2031" s="5" t="s">
        <v>19</v>
      </c>
      <c r="K2031" s="5"/>
      <c r="L2031" s="5" t="s">
        <v>112</v>
      </c>
    </row>
    <row r="2032" customFormat="false" ht="13.35" hidden="false" customHeight="true" outlineLevel="0" collapsed="false">
      <c r="A2032" s="5" t="str">
        <f aca="false">HYPERLINK("https://www.fabsurplus.com/sdi_catalog/salesItemDetails.do?id=98296")</f>
        <v>https://www.fabsurplus.com/sdi_catalog/salesItemDetails.do?id=98296</v>
      </c>
      <c r="B2032" s="5" t="s">
        <v>5593</v>
      </c>
      <c r="C2032" s="5" t="s">
        <v>5568</v>
      </c>
      <c r="D2032" s="5" t="s">
        <v>5594</v>
      </c>
      <c r="E2032" s="5" t="s">
        <v>5595</v>
      </c>
      <c r="F2032" s="5" t="s">
        <v>16</v>
      </c>
      <c r="G2032" s="5" t="s">
        <v>17</v>
      </c>
      <c r="H2032" s="5"/>
      <c r="I2032" s="5"/>
      <c r="J2032" s="5" t="s">
        <v>19</v>
      </c>
      <c r="K2032" s="5"/>
      <c r="L2032" s="5"/>
    </row>
    <row r="2033" customFormat="false" ht="13.35" hidden="false" customHeight="true" outlineLevel="0" collapsed="false">
      <c r="A2033" s="2" t="str">
        <f aca="false">HYPERLINK("https://www.fabsurplus.com/sdi_catalog/salesItemDetails.do?id=98297")</f>
        <v>https://www.fabsurplus.com/sdi_catalog/salesItemDetails.do?id=98297</v>
      </c>
      <c r="B2033" s="2" t="s">
        <v>5596</v>
      </c>
      <c r="C2033" s="2" t="s">
        <v>5568</v>
      </c>
      <c r="D2033" s="2" t="s">
        <v>5594</v>
      </c>
      <c r="E2033" s="2" t="s">
        <v>5595</v>
      </c>
      <c r="F2033" s="2" t="s">
        <v>16</v>
      </c>
      <c r="G2033" s="2" t="s">
        <v>17</v>
      </c>
      <c r="H2033" s="2"/>
      <c r="I2033" s="2"/>
      <c r="J2033" s="2" t="s">
        <v>19</v>
      </c>
      <c r="K2033" s="2"/>
      <c r="L2033" s="2"/>
    </row>
    <row r="2034" customFormat="false" ht="13.35" hidden="false" customHeight="true" outlineLevel="0" collapsed="false">
      <c r="A2034" s="5" t="str">
        <f aca="false">HYPERLINK("https://www.fabsurplus.com/sdi_catalog/salesItemDetails.do?id=91565")</f>
        <v>https://www.fabsurplus.com/sdi_catalog/salesItemDetails.do?id=91565</v>
      </c>
      <c r="B2034" s="5" t="s">
        <v>5597</v>
      </c>
      <c r="C2034" s="5" t="s">
        <v>5568</v>
      </c>
      <c r="D2034" s="5" t="s">
        <v>5598</v>
      </c>
      <c r="E2034" s="5" t="s">
        <v>5590</v>
      </c>
      <c r="F2034" s="5" t="s">
        <v>16</v>
      </c>
      <c r="G2034" s="5" t="s">
        <v>17</v>
      </c>
      <c r="H2034" s="5"/>
      <c r="I2034" s="5"/>
      <c r="J2034" s="5" t="s">
        <v>19</v>
      </c>
      <c r="K2034" s="5"/>
      <c r="L2034" s="5" t="s">
        <v>112</v>
      </c>
    </row>
    <row r="2035" customFormat="false" ht="13.35" hidden="false" customHeight="true" outlineLevel="0" collapsed="false">
      <c r="A2035" s="5" t="str">
        <f aca="false">HYPERLINK("https://www.fabsurplus.com/sdi_catalog/salesItemDetails.do?id=98298")</f>
        <v>https://www.fabsurplus.com/sdi_catalog/salesItemDetails.do?id=98298</v>
      </c>
      <c r="B2035" s="5" t="s">
        <v>5599</v>
      </c>
      <c r="C2035" s="5" t="s">
        <v>5568</v>
      </c>
      <c r="D2035" s="5" t="s">
        <v>5600</v>
      </c>
      <c r="E2035" s="5" t="s">
        <v>5595</v>
      </c>
      <c r="F2035" s="5" t="s">
        <v>16</v>
      </c>
      <c r="G2035" s="5" t="s">
        <v>17</v>
      </c>
      <c r="H2035" s="5"/>
      <c r="I2035" s="6" t="n">
        <v>39234</v>
      </c>
      <c r="J2035" s="5" t="s">
        <v>19</v>
      </c>
      <c r="K2035" s="5"/>
      <c r="L2035" s="5"/>
    </row>
    <row r="2036" customFormat="false" ht="13.35" hidden="false" customHeight="true" outlineLevel="0" collapsed="false">
      <c r="A2036" s="5" t="str">
        <f aca="false">HYPERLINK("https://www.fabsurplus.com/sdi_catalog/salesItemDetails.do?id=98837")</f>
        <v>https://www.fabsurplus.com/sdi_catalog/salesItemDetails.do?id=98837</v>
      </c>
      <c r="B2036" s="5" t="s">
        <v>5601</v>
      </c>
      <c r="C2036" s="5" t="s">
        <v>5568</v>
      </c>
      <c r="D2036" s="5" t="s">
        <v>5602</v>
      </c>
      <c r="E2036" s="5" t="s">
        <v>3757</v>
      </c>
      <c r="F2036" s="5" t="s">
        <v>16</v>
      </c>
      <c r="G2036" s="5" t="s">
        <v>17</v>
      </c>
      <c r="H2036" s="5" t="s">
        <v>26</v>
      </c>
      <c r="I2036" s="6" t="n">
        <v>39569</v>
      </c>
      <c r="J2036" s="5" t="s">
        <v>19</v>
      </c>
      <c r="K2036" s="5" t="s">
        <v>20</v>
      </c>
      <c r="L2036" s="7" t="s">
        <v>654</v>
      </c>
    </row>
    <row r="2037" customFormat="false" ht="13.35" hidden="false" customHeight="true" outlineLevel="0" collapsed="false">
      <c r="A2037" s="2" t="str">
        <f aca="false">HYPERLINK("https://www.fabsurplus.com/sdi_catalog/salesItemDetails.do?id=98493")</f>
        <v>https://www.fabsurplus.com/sdi_catalog/salesItemDetails.do?id=98493</v>
      </c>
      <c r="B2037" s="2" t="s">
        <v>5603</v>
      </c>
      <c r="C2037" s="2" t="s">
        <v>5555</v>
      </c>
      <c r="D2037" s="2" t="s">
        <v>5604</v>
      </c>
      <c r="E2037" s="2" t="s">
        <v>5605</v>
      </c>
      <c r="F2037" s="2" t="s">
        <v>16</v>
      </c>
      <c r="G2037" s="2" t="s">
        <v>862</v>
      </c>
      <c r="H2037" s="2" t="s">
        <v>18</v>
      </c>
      <c r="I2037" s="2"/>
      <c r="J2037" s="2" t="s">
        <v>19</v>
      </c>
      <c r="K2037" s="2" t="s">
        <v>20</v>
      </c>
      <c r="L2037" s="2" t="s">
        <v>1417</v>
      </c>
    </row>
    <row r="2038" customFormat="false" ht="13.35" hidden="false" customHeight="true" outlineLevel="0" collapsed="false">
      <c r="A2038" s="5" t="str">
        <f aca="false">HYPERLINK("https://www.fabsurplus.com/sdi_catalog/salesItemDetails.do?id=98494")</f>
        <v>https://www.fabsurplus.com/sdi_catalog/salesItemDetails.do?id=98494</v>
      </c>
      <c r="B2038" s="5" t="s">
        <v>5606</v>
      </c>
      <c r="C2038" s="5" t="s">
        <v>5555</v>
      </c>
      <c r="D2038" s="5" t="s">
        <v>5607</v>
      </c>
      <c r="E2038" s="5" t="s">
        <v>5605</v>
      </c>
      <c r="F2038" s="5" t="s">
        <v>125</v>
      </c>
      <c r="G2038" s="5" t="s">
        <v>658</v>
      </c>
      <c r="H2038" s="5" t="s">
        <v>26</v>
      </c>
      <c r="I2038" s="5"/>
      <c r="J2038" s="5" t="s">
        <v>19</v>
      </c>
      <c r="K2038" s="5" t="s">
        <v>20</v>
      </c>
      <c r="L2038" s="5" t="s">
        <v>1417</v>
      </c>
    </row>
    <row r="2039" customFormat="false" ht="13.35" hidden="false" customHeight="true" outlineLevel="0" collapsed="false">
      <c r="A2039" s="5" t="str">
        <f aca="false">HYPERLINK("https://www.fabsurplus.com/sdi_catalog/salesItemDetails.do?id=100930")</f>
        <v>https://www.fabsurplus.com/sdi_catalog/salesItemDetails.do?id=100930</v>
      </c>
      <c r="B2039" s="5" t="s">
        <v>5608</v>
      </c>
      <c r="C2039" s="5" t="s">
        <v>5568</v>
      </c>
      <c r="D2039" s="5" t="s">
        <v>5607</v>
      </c>
      <c r="E2039" s="5" t="s">
        <v>5595</v>
      </c>
      <c r="F2039" s="5" t="s">
        <v>16</v>
      </c>
      <c r="G2039" s="5" t="s">
        <v>36</v>
      </c>
      <c r="H2039" s="5"/>
      <c r="I2039" s="6" t="n">
        <v>39234</v>
      </c>
      <c r="J2039" s="5" t="s">
        <v>19</v>
      </c>
      <c r="K2039" s="5"/>
      <c r="L2039" s="5" t="s">
        <v>618</v>
      </c>
    </row>
    <row r="2040" customFormat="false" ht="13.35" hidden="false" customHeight="true" outlineLevel="0" collapsed="false">
      <c r="A2040" s="2" t="str">
        <f aca="false">HYPERLINK("https://www.fabsurplus.com/sdi_catalog/salesItemDetails.do?id=100931")</f>
        <v>https://www.fabsurplus.com/sdi_catalog/salesItemDetails.do?id=100931</v>
      </c>
      <c r="B2040" s="2" t="s">
        <v>5609</v>
      </c>
      <c r="C2040" s="2" t="s">
        <v>5568</v>
      </c>
      <c r="D2040" s="2" t="s">
        <v>5607</v>
      </c>
      <c r="E2040" s="2" t="s">
        <v>5595</v>
      </c>
      <c r="F2040" s="2" t="s">
        <v>16</v>
      </c>
      <c r="G2040" s="2" t="s">
        <v>36</v>
      </c>
      <c r="H2040" s="2"/>
      <c r="I2040" s="3" t="n">
        <v>39965</v>
      </c>
      <c r="J2040" s="2" t="s">
        <v>19</v>
      </c>
      <c r="K2040" s="2"/>
      <c r="L2040" s="2" t="s">
        <v>618</v>
      </c>
    </row>
    <row r="2041" customFormat="false" ht="13.35" hidden="false" customHeight="true" outlineLevel="0" collapsed="false">
      <c r="A2041" s="2" t="str">
        <f aca="false">HYPERLINK("https://www.fabsurplus.com/sdi_catalog/salesItemDetails.do?id=101806")</f>
        <v>https://www.fabsurplus.com/sdi_catalog/salesItemDetails.do?id=101806</v>
      </c>
      <c r="B2041" s="2" t="s">
        <v>5610</v>
      </c>
      <c r="C2041" s="2" t="s">
        <v>5555</v>
      </c>
      <c r="D2041" s="2" t="s">
        <v>5611</v>
      </c>
      <c r="E2041" s="2" t="s">
        <v>5563</v>
      </c>
      <c r="F2041" s="2" t="s">
        <v>125</v>
      </c>
      <c r="G2041" s="2" t="s">
        <v>36</v>
      </c>
      <c r="H2041" s="2"/>
      <c r="I2041" s="3" t="n">
        <v>39600</v>
      </c>
      <c r="J2041" s="2" t="s">
        <v>47</v>
      </c>
      <c r="K2041" s="2"/>
      <c r="L2041" s="2"/>
    </row>
    <row r="2042" customFormat="false" ht="13.35" hidden="false" customHeight="true" outlineLevel="0" collapsed="false">
      <c r="A2042" s="2" t="str">
        <f aca="false">HYPERLINK("https://www.fabsurplus.com/sdi_catalog/salesItemDetails.do?id=102357")</f>
        <v>https://www.fabsurplus.com/sdi_catalog/salesItemDetails.do?id=102357</v>
      </c>
      <c r="B2042" s="2" t="s">
        <v>5612</v>
      </c>
      <c r="C2042" s="2" t="s">
        <v>5555</v>
      </c>
      <c r="D2042" s="2" t="s">
        <v>1549</v>
      </c>
      <c r="E2042" s="2" t="s">
        <v>5563</v>
      </c>
      <c r="F2042" s="2" t="s">
        <v>16</v>
      </c>
      <c r="G2042" s="2"/>
      <c r="H2042" s="2"/>
      <c r="I2042" s="3" t="n">
        <v>39600</v>
      </c>
      <c r="J2042" s="2" t="s">
        <v>19</v>
      </c>
      <c r="K2042" s="2"/>
      <c r="L2042" s="2"/>
    </row>
    <row r="2043" customFormat="false" ht="13.35" hidden="false" customHeight="true" outlineLevel="0" collapsed="false">
      <c r="A2043" s="5" t="str">
        <f aca="false">HYPERLINK("https://www.fabsurplus.com/sdi_catalog/salesItemDetails.do?id=102358")</f>
        <v>https://www.fabsurplus.com/sdi_catalog/salesItemDetails.do?id=102358</v>
      </c>
      <c r="B2043" s="5" t="s">
        <v>5613</v>
      </c>
      <c r="C2043" s="5" t="s">
        <v>5555</v>
      </c>
      <c r="D2043" s="5" t="s">
        <v>5614</v>
      </c>
      <c r="E2043" s="5" t="s">
        <v>5563</v>
      </c>
      <c r="F2043" s="5" t="s">
        <v>16</v>
      </c>
      <c r="G2043" s="5" t="s">
        <v>17</v>
      </c>
      <c r="H2043" s="5"/>
      <c r="I2043" s="6" t="n">
        <v>39965</v>
      </c>
      <c r="J2043" s="5" t="s">
        <v>19</v>
      </c>
      <c r="K2043" s="5"/>
      <c r="L2043" s="5"/>
    </row>
    <row r="2044" customFormat="false" ht="13.35" hidden="false" customHeight="true" outlineLevel="0" collapsed="false">
      <c r="A2044" s="2" t="str">
        <f aca="false">HYPERLINK("https://www.fabsurplus.com/sdi_catalog/salesItemDetails.do?id=102359")</f>
        <v>https://www.fabsurplus.com/sdi_catalog/salesItemDetails.do?id=102359</v>
      </c>
      <c r="B2044" s="2" t="s">
        <v>5615</v>
      </c>
      <c r="C2044" s="2" t="s">
        <v>5555</v>
      </c>
      <c r="D2044" s="2" t="s">
        <v>5614</v>
      </c>
      <c r="E2044" s="2" t="s">
        <v>5563</v>
      </c>
      <c r="F2044" s="2" t="s">
        <v>16</v>
      </c>
      <c r="G2044" s="2" t="s">
        <v>17</v>
      </c>
      <c r="H2044" s="2"/>
      <c r="I2044" s="3" t="n">
        <v>39965</v>
      </c>
      <c r="J2044" s="2" t="s">
        <v>19</v>
      </c>
      <c r="K2044" s="2"/>
      <c r="L2044" s="2"/>
    </row>
    <row r="2045" customFormat="false" ht="13.35" hidden="false" customHeight="true" outlineLevel="0" collapsed="false">
      <c r="A2045" s="5" t="str">
        <f aca="false">HYPERLINK("https://www.fabsurplus.com/sdi_catalog/salesItemDetails.do?id=102360")</f>
        <v>https://www.fabsurplus.com/sdi_catalog/salesItemDetails.do?id=102360</v>
      </c>
      <c r="B2045" s="5" t="s">
        <v>5616</v>
      </c>
      <c r="C2045" s="5" t="s">
        <v>5555</v>
      </c>
      <c r="D2045" s="5" t="s">
        <v>5614</v>
      </c>
      <c r="E2045" s="5" t="s">
        <v>5563</v>
      </c>
      <c r="F2045" s="5" t="s">
        <v>16</v>
      </c>
      <c r="G2045" s="5" t="s">
        <v>17</v>
      </c>
      <c r="H2045" s="5"/>
      <c r="I2045" s="6" t="n">
        <v>40330</v>
      </c>
      <c r="J2045" s="5" t="s">
        <v>19</v>
      </c>
      <c r="K2045" s="5"/>
      <c r="L2045" s="5"/>
    </row>
    <row r="2046" customFormat="false" ht="13.35" hidden="false" customHeight="true" outlineLevel="0" collapsed="false">
      <c r="A2046" s="2" t="str">
        <f aca="false">HYPERLINK("https://www.fabsurplus.com/sdi_catalog/salesItemDetails.do?id=102361")</f>
        <v>https://www.fabsurplus.com/sdi_catalog/salesItemDetails.do?id=102361</v>
      </c>
      <c r="B2046" s="2" t="s">
        <v>5617</v>
      </c>
      <c r="C2046" s="2" t="s">
        <v>5555</v>
      </c>
      <c r="D2046" s="2" t="s">
        <v>5618</v>
      </c>
      <c r="E2046" s="2" t="s">
        <v>5619</v>
      </c>
      <c r="F2046" s="2" t="s">
        <v>16</v>
      </c>
      <c r="G2046" s="2" t="s">
        <v>17</v>
      </c>
      <c r="H2046" s="2"/>
      <c r="I2046" s="2"/>
      <c r="J2046" s="2" t="s">
        <v>19</v>
      </c>
      <c r="K2046" s="2"/>
      <c r="L2046" s="2"/>
    </row>
    <row r="2047" customFormat="false" ht="13.35" hidden="false" customHeight="true" outlineLevel="0" collapsed="false">
      <c r="A2047" s="5" t="str">
        <f aca="false">HYPERLINK("https://www.fabsurplus.com/sdi_catalog/salesItemDetails.do?id=100932")</f>
        <v>https://www.fabsurplus.com/sdi_catalog/salesItemDetails.do?id=100932</v>
      </c>
      <c r="B2047" s="5" t="s">
        <v>5620</v>
      </c>
      <c r="C2047" s="5" t="s">
        <v>5568</v>
      </c>
      <c r="D2047" s="5" t="s">
        <v>2821</v>
      </c>
      <c r="E2047" s="5" t="s">
        <v>5621</v>
      </c>
      <c r="F2047" s="5" t="s">
        <v>16</v>
      </c>
      <c r="G2047" s="5" t="s">
        <v>36</v>
      </c>
      <c r="H2047" s="5"/>
      <c r="I2047" s="6" t="n">
        <v>41061</v>
      </c>
      <c r="J2047" s="5" t="s">
        <v>19</v>
      </c>
      <c r="K2047" s="5"/>
      <c r="L2047" s="5" t="s">
        <v>618</v>
      </c>
    </row>
    <row r="2048" customFormat="false" ht="13.35" hidden="false" customHeight="true" outlineLevel="0" collapsed="false">
      <c r="A2048" s="2" t="str">
        <f aca="false">HYPERLINK("https://www.fabsurplus.com/sdi_catalog/salesItemDetails.do?id=102363")</f>
        <v>https://www.fabsurplus.com/sdi_catalog/salesItemDetails.do?id=102363</v>
      </c>
      <c r="B2048" s="2" t="s">
        <v>5622</v>
      </c>
      <c r="C2048" s="2" t="s">
        <v>5555</v>
      </c>
      <c r="D2048" s="2" t="s">
        <v>5623</v>
      </c>
      <c r="E2048" s="2" t="s">
        <v>5621</v>
      </c>
      <c r="F2048" s="2" t="s">
        <v>16</v>
      </c>
      <c r="G2048" s="2" t="s">
        <v>17</v>
      </c>
      <c r="H2048" s="2"/>
      <c r="I2048" s="3" t="n">
        <v>40695</v>
      </c>
      <c r="J2048" s="2" t="s">
        <v>19</v>
      </c>
      <c r="K2048" s="2"/>
      <c r="L2048" s="2"/>
    </row>
    <row r="2049" customFormat="false" ht="13.35" hidden="false" customHeight="true" outlineLevel="0" collapsed="false">
      <c r="A2049" s="5" t="str">
        <f aca="false">HYPERLINK("https://www.fabsurplus.com/sdi_catalog/salesItemDetails.do?id=102364")</f>
        <v>https://www.fabsurplus.com/sdi_catalog/salesItemDetails.do?id=102364</v>
      </c>
      <c r="B2049" s="5" t="s">
        <v>5624</v>
      </c>
      <c r="C2049" s="5" t="s">
        <v>5555</v>
      </c>
      <c r="D2049" s="5" t="s">
        <v>5625</v>
      </c>
      <c r="E2049" s="5" t="s">
        <v>5621</v>
      </c>
      <c r="F2049" s="5" t="s">
        <v>16</v>
      </c>
      <c r="G2049" s="5" t="s">
        <v>17</v>
      </c>
      <c r="H2049" s="5"/>
      <c r="I2049" s="6" t="n">
        <v>40695</v>
      </c>
      <c r="J2049" s="5" t="s">
        <v>19</v>
      </c>
      <c r="K2049" s="5"/>
      <c r="L2049" s="5"/>
    </row>
    <row r="2050" customFormat="false" ht="13.35" hidden="false" customHeight="true" outlineLevel="0" collapsed="false">
      <c r="A2050" s="2" t="str">
        <f aca="false">HYPERLINK("https://www.fabsurplus.com/sdi_catalog/salesItemDetails.do?id=91566")</f>
        <v>https://www.fabsurplus.com/sdi_catalog/salesItemDetails.do?id=91566</v>
      </c>
      <c r="B2050" s="2" t="s">
        <v>5626</v>
      </c>
      <c r="C2050" s="2" t="s">
        <v>5555</v>
      </c>
      <c r="D2050" s="2" t="s">
        <v>5627</v>
      </c>
      <c r="E2050" s="2" t="s">
        <v>5628</v>
      </c>
      <c r="F2050" s="2" t="s">
        <v>16</v>
      </c>
      <c r="G2050" s="2" t="s">
        <v>17</v>
      </c>
      <c r="H2050" s="2" t="s">
        <v>26</v>
      </c>
      <c r="I2050" s="3" t="n">
        <v>40330</v>
      </c>
      <c r="J2050" s="2" t="s">
        <v>19</v>
      </c>
      <c r="K2050" s="2" t="s">
        <v>20</v>
      </c>
      <c r="L2050" s="2" t="s">
        <v>112</v>
      </c>
    </row>
    <row r="2051" customFormat="false" ht="13.35" hidden="false" customHeight="true" outlineLevel="0" collapsed="false">
      <c r="A2051" s="5" t="str">
        <f aca="false">HYPERLINK("https://www.fabsurplus.com/sdi_catalog/salesItemDetails.do?id=102367")</f>
        <v>https://www.fabsurplus.com/sdi_catalog/salesItemDetails.do?id=102367</v>
      </c>
      <c r="B2051" s="5" t="s">
        <v>5629</v>
      </c>
      <c r="C2051" s="5" t="s">
        <v>5555</v>
      </c>
      <c r="D2051" s="5" t="s">
        <v>5630</v>
      </c>
      <c r="E2051" s="5" t="s">
        <v>5631</v>
      </c>
      <c r="F2051" s="5" t="s">
        <v>16</v>
      </c>
      <c r="G2051" s="5" t="s">
        <v>17</v>
      </c>
      <c r="H2051" s="5"/>
      <c r="I2051" s="6" t="n">
        <v>38504</v>
      </c>
      <c r="J2051" s="5" t="s">
        <v>19</v>
      </c>
      <c r="K2051" s="5"/>
      <c r="L2051" s="5"/>
    </row>
    <row r="2052" customFormat="false" ht="13.35" hidden="false" customHeight="true" outlineLevel="0" collapsed="false">
      <c r="A2052" s="5" t="str">
        <f aca="false">HYPERLINK("https://www.fabsurplus.com/sdi_catalog/salesItemDetails.do?id=102369")</f>
        <v>https://www.fabsurplus.com/sdi_catalog/salesItemDetails.do?id=102369</v>
      </c>
      <c r="B2052" s="5" t="s">
        <v>5632</v>
      </c>
      <c r="C2052" s="5" t="s">
        <v>5555</v>
      </c>
      <c r="D2052" s="5" t="s">
        <v>5630</v>
      </c>
      <c r="E2052" s="5" t="s">
        <v>5631</v>
      </c>
      <c r="F2052" s="5" t="s">
        <v>16</v>
      </c>
      <c r="G2052" s="5" t="s">
        <v>17</v>
      </c>
      <c r="H2052" s="5"/>
      <c r="I2052" s="6" t="n">
        <v>38504</v>
      </c>
      <c r="J2052" s="5" t="s">
        <v>19</v>
      </c>
      <c r="K2052" s="5"/>
      <c r="L2052" s="5"/>
    </row>
    <row r="2053" customFormat="false" ht="13.35" hidden="false" customHeight="true" outlineLevel="0" collapsed="false">
      <c r="A2053" s="5" t="str">
        <f aca="false">HYPERLINK("https://www.fabsurplus.com/sdi_catalog/salesItemDetails.do?id=102372")</f>
        <v>https://www.fabsurplus.com/sdi_catalog/salesItemDetails.do?id=102372</v>
      </c>
      <c r="B2053" s="5" t="s">
        <v>5633</v>
      </c>
      <c r="C2053" s="5" t="s">
        <v>5555</v>
      </c>
      <c r="D2053" s="5" t="s">
        <v>5630</v>
      </c>
      <c r="E2053" s="5" t="s">
        <v>5631</v>
      </c>
      <c r="F2053" s="5" t="s">
        <v>16</v>
      </c>
      <c r="G2053" s="5" t="s">
        <v>17</v>
      </c>
      <c r="H2053" s="5"/>
      <c r="I2053" s="6" t="n">
        <v>39234</v>
      </c>
      <c r="J2053" s="5" t="s">
        <v>19</v>
      </c>
      <c r="K2053" s="5"/>
      <c r="L2053" s="5"/>
    </row>
    <row r="2054" customFormat="false" ht="13.35" hidden="false" customHeight="true" outlineLevel="0" collapsed="false">
      <c r="A2054" s="5" t="str">
        <f aca="false">HYPERLINK("https://www.fabsurplus.com/sdi_catalog/salesItemDetails.do?id=102373")</f>
        <v>https://www.fabsurplus.com/sdi_catalog/salesItemDetails.do?id=102373</v>
      </c>
      <c r="B2054" s="5" t="s">
        <v>5634</v>
      </c>
      <c r="C2054" s="5" t="s">
        <v>5555</v>
      </c>
      <c r="D2054" s="5" t="s">
        <v>5630</v>
      </c>
      <c r="E2054" s="5" t="s">
        <v>5631</v>
      </c>
      <c r="F2054" s="5" t="s">
        <v>16</v>
      </c>
      <c r="G2054" s="5" t="s">
        <v>17</v>
      </c>
      <c r="H2054" s="5"/>
      <c r="I2054" s="6" t="n">
        <v>39234</v>
      </c>
      <c r="J2054" s="5" t="s">
        <v>19</v>
      </c>
      <c r="K2054" s="5"/>
      <c r="L2054" s="5"/>
    </row>
    <row r="2055" customFormat="false" ht="13.35" hidden="false" customHeight="true" outlineLevel="0" collapsed="false">
      <c r="A2055" s="2" t="str">
        <f aca="false">HYPERLINK("https://www.fabsurplus.com/sdi_catalog/salesItemDetails.do?id=102374")</f>
        <v>https://www.fabsurplus.com/sdi_catalog/salesItemDetails.do?id=102374</v>
      </c>
      <c r="B2055" s="2" t="s">
        <v>5635</v>
      </c>
      <c r="C2055" s="2" t="s">
        <v>5555</v>
      </c>
      <c r="D2055" s="2" t="s">
        <v>5630</v>
      </c>
      <c r="E2055" s="2" t="s">
        <v>5631</v>
      </c>
      <c r="F2055" s="2" t="s">
        <v>16</v>
      </c>
      <c r="G2055" s="2" t="s">
        <v>17</v>
      </c>
      <c r="H2055" s="2"/>
      <c r="I2055" s="2"/>
      <c r="J2055" s="2" t="s">
        <v>19</v>
      </c>
      <c r="K2055" s="2"/>
      <c r="L2055" s="2"/>
    </row>
    <row r="2056" customFormat="false" ht="13.35" hidden="false" customHeight="true" outlineLevel="0" collapsed="false">
      <c r="A2056" s="2" t="str">
        <f aca="false">HYPERLINK("https://www.fabsurplus.com/sdi_catalog/salesItemDetails.do?id=102376")</f>
        <v>https://www.fabsurplus.com/sdi_catalog/salesItemDetails.do?id=102376</v>
      </c>
      <c r="B2056" s="2" t="s">
        <v>5636</v>
      </c>
      <c r="C2056" s="2" t="s">
        <v>5555</v>
      </c>
      <c r="D2056" s="2" t="s">
        <v>5630</v>
      </c>
      <c r="E2056" s="2" t="s">
        <v>5631</v>
      </c>
      <c r="F2056" s="2" t="s">
        <v>16</v>
      </c>
      <c r="G2056" s="2" t="s">
        <v>17</v>
      </c>
      <c r="H2056" s="2"/>
      <c r="I2056" s="2"/>
      <c r="J2056" s="2" t="s">
        <v>19</v>
      </c>
      <c r="K2056" s="2"/>
      <c r="L2056" s="2"/>
    </row>
    <row r="2057" customFormat="false" ht="13.35" hidden="false" customHeight="true" outlineLevel="0" collapsed="false">
      <c r="A2057" s="2" t="str">
        <f aca="false">HYPERLINK("https://www.fabsurplus.com/sdi_catalog/salesItemDetails.do?id=102365")</f>
        <v>https://www.fabsurplus.com/sdi_catalog/salesItemDetails.do?id=102365</v>
      </c>
      <c r="B2057" s="2" t="s">
        <v>5637</v>
      </c>
      <c r="C2057" s="2" t="s">
        <v>5555</v>
      </c>
      <c r="D2057" s="2" t="s">
        <v>5630</v>
      </c>
      <c r="E2057" s="2" t="s">
        <v>5566</v>
      </c>
      <c r="F2057" s="2" t="s">
        <v>16</v>
      </c>
      <c r="G2057" s="2" t="s">
        <v>17</v>
      </c>
      <c r="H2057" s="2"/>
      <c r="I2057" s="3" t="n">
        <v>38504</v>
      </c>
      <c r="J2057" s="2" t="s">
        <v>19</v>
      </c>
      <c r="K2057" s="2"/>
      <c r="L2057" s="2"/>
    </row>
    <row r="2058" customFormat="false" ht="13.35" hidden="false" customHeight="true" outlineLevel="0" collapsed="false">
      <c r="A2058" s="2" t="str">
        <f aca="false">HYPERLINK("https://www.fabsurplus.com/sdi_catalog/salesItemDetails.do?id=102366")</f>
        <v>https://www.fabsurplus.com/sdi_catalog/salesItemDetails.do?id=102366</v>
      </c>
      <c r="B2058" s="2" t="s">
        <v>5638</v>
      </c>
      <c r="C2058" s="2" t="s">
        <v>5555</v>
      </c>
      <c r="D2058" s="2" t="s">
        <v>5630</v>
      </c>
      <c r="E2058" s="2" t="s">
        <v>5566</v>
      </c>
      <c r="F2058" s="2" t="s">
        <v>16</v>
      </c>
      <c r="G2058" s="2" t="s">
        <v>17</v>
      </c>
      <c r="H2058" s="2"/>
      <c r="I2058" s="3" t="n">
        <v>38504</v>
      </c>
      <c r="J2058" s="2" t="s">
        <v>19</v>
      </c>
      <c r="K2058" s="2"/>
      <c r="L2058" s="2"/>
    </row>
    <row r="2059" customFormat="false" ht="13.35" hidden="false" customHeight="true" outlineLevel="0" collapsed="false">
      <c r="A2059" s="2" t="str">
        <f aca="false">HYPERLINK("https://www.fabsurplus.com/sdi_catalog/salesItemDetails.do?id=102368")</f>
        <v>https://www.fabsurplus.com/sdi_catalog/salesItemDetails.do?id=102368</v>
      </c>
      <c r="B2059" s="2" t="s">
        <v>5639</v>
      </c>
      <c r="C2059" s="2" t="s">
        <v>5555</v>
      </c>
      <c r="D2059" s="2" t="s">
        <v>5630</v>
      </c>
      <c r="E2059" s="2" t="s">
        <v>5566</v>
      </c>
      <c r="F2059" s="2" t="s">
        <v>16</v>
      </c>
      <c r="G2059" s="2" t="s">
        <v>17</v>
      </c>
      <c r="H2059" s="2"/>
      <c r="I2059" s="2"/>
      <c r="J2059" s="2" t="s">
        <v>19</v>
      </c>
      <c r="K2059" s="2"/>
      <c r="L2059" s="2"/>
    </row>
    <row r="2060" customFormat="false" ht="13.35" hidden="false" customHeight="true" outlineLevel="0" collapsed="false">
      <c r="A2060" s="2" t="str">
        <f aca="false">HYPERLINK("https://www.fabsurplus.com/sdi_catalog/salesItemDetails.do?id=102370")</f>
        <v>https://www.fabsurplus.com/sdi_catalog/salesItemDetails.do?id=102370</v>
      </c>
      <c r="B2060" s="2" t="s">
        <v>5640</v>
      </c>
      <c r="C2060" s="2" t="s">
        <v>5555</v>
      </c>
      <c r="D2060" s="2" t="s">
        <v>5630</v>
      </c>
      <c r="E2060" s="2" t="s">
        <v>5566</v>
      </c>
      <c r="F2060" s="2" t="s">
        <v>16</v>
      </c>
      <c r="G2060" s="2" t="s">
        <v>17</v>
      </c>
      <c r="H2060" s="2"/>
      <c r="I2060" s="2"/>
      <c r="J2060" s="2" t="s">
        <v>19</v>
      </c>
      <c r="K2060" s="2"/>
      <c r="L2060" s="2"/>
    </row>
    <row r="2061" customFormat="false" ht="13.35" hidden="false" customHeight="true" outlineLevel="0" collapsed="false">
      <c r="A2061" s="5" t="str">
        <f aca="false">HYPERLINK("https://www.fabsurplus.com/sdi_catalog/salesItemDetails.do?id=102371")</f>
        <v>https://www.fabsurplus.com/sdi_catalog/salesItemDetails.do?id=102371</v>
      </c>
      <c r="B2061" s="5" t="s">
        <v>5641</v>
      </c>
      <c r="C2061" s="5" t="s">
        <v>5555</v>
      </c>
      <c r="D2061" s="5" t="s">
        <v>5630</v>
      </c>
      <c r="E2061" s="5" t="s">
        <v>5566</v>
      </c>
      <c r="F2061" s="5" t="s">
        <v>16</v>
      </c>
      <c r="G2061" s="5" t="s">
        <v>17</v>
      </c>
      <c r="H2061" s="5"/>
      <c r="I2061" s="5"/>
      <c r="J2061" s="5" t="s">
        <v>19</v>
      </c>
      <c r="K2061" s="5"/>
      <c r="L2061" s="5"/>
    </row>
    <row r="2062" customFormat="false" ht="13.35" hidden="false" customHeight="true" outlineLevel="0" collapsed="false">
      <c r="A2062" s="5" t="str">
        <f aca="false">HYPERLINK("https://www.fabsurplus.com/sdi_catalog/salesItemDetails.do?id=102375")</f>
        <v>https://www.fabsurplus.com/sdi_catalog/salesItemDetails.do?id=102375</v>
      </c>
      <c r="B2062" s="5" t="s">
        <v>5642</v>
      </c>
      <c r="C2062" s="5" t="s">
        <v>5555</v>
      </c>
      <c r="D2062" s="5" t="s">
        <v>5630</v>
      </c>
      <c r="E2062" s="5" t="s">
        <v>5566</v>
      </c>
      <c r="F2062" s="5" t="s">
        <v>16</v>
      </c>
      <c r="G2062" s="5" t="s">
        <v>17</v>
      </c>
      <c r="H2062" s="5"/>
      <c r="I2062" s="6" t="n">
        <v>38504</v>
      </c>
      <c r="J2062" s="5" t="s">
        <v>19</v>
      </c>
      <c r="K2062" s="5"/>
      <c r="L2062" s="5"/>
    </row>
    <row r="2063" customFormat="false" ht="13.35" hidden="false" customHeight="true" outlineLevel="0" collapsed="false">
      <c r="A2063" s="5" t="str">
        <f aca="false">HYPERLINK("https://www.fabsurplus.com/sdi_catalog/salesItemDetails.do?id=102377")</f>
        <v>https://www.fabsurplus.com/sdi_catalog/salesItemDetails.do?id=102377</v>
      </c>
      <c r="B2063" s="5" t="s">
        <v>5643</v>
      </c>
      <c r="C2063" s="5" t="s">
        <v>5555</v>
      </c>
      <c r="D2063" s="5" t="s">
        <v>5630</v>
      </c>
      <c r="E2063" s="5" t="s">
        <v>5566</v>
      </c>
      <c r="F2063" s="5" t="s">
        <v>16</v>
      </c>
      <c r="G2063" s="5" t="s">
        <v>17</v>
      </c>
      <c r="H2063" s="5"/>
      <c r="I2063" s="5"/>
      <c r="J2063" s="5" t="s">
        <v>19</v>
      </c>
      <c r="K2063" s="5"/>
      <c r="L2063" s="5"/>
    </row>
    <row r="2064" customFormat="false" ht="13.35" hidden="false" customHeight="true" outlineLevel="0" collapsed="false">
      <c r="A2064" s="2" t="str">
        <f aca="false">HYPERLINK("https://www.fabsurplus.com/sdi_catalog/salesItemDetails.do?id=95621")</f>
        <v>https://www.fabsurplus.com/sdi_catalog/salesItemDetails.do?id=95621</v>
      </c>
      <c r="B2064" s="2" t="s">
        <v>5644</v>
      </c>
      <c r="C2064" s="2" t="s">
        <v>5568</v>
      </c>
      <c r="D2064" s="2" t="s">
        <v>5630</v>
      </c>
      <c r="E2064" s="2" t="s">
        <v>5645</v>
      </c>
      <c r="F2064" s="2" t="s">
        <v>16</v>
      </c>
      <c r="G2064" s="2" t="s">
        <v>658</v>
      </c>
      <c r="H2064" s="2" t="s">
        <v>26</v>
      </c>
      <c r="I2064" s="2"/>
      <c r="J2064" s="2" t="s">
        <v>19</v>
      </c>
      <c r="K2064" s="2" t="s">
        <v>20</v>
      </c>
      <c r="L2064" s="2" t="s">
        <v>198</v>
      </c>
    </row>
    <row r="2065" customFormat="false" ht="13.35" hidden="false" customHeight="true" outlineLevel="0" collapsed="false">
      <c r="A2065" s="5" t="str">
        <f aca="false">HYPERLINK("https://www.fabsurplus.com/sdi_catalog/salesItemDetails.do?id=91559")</f>
        <v>https://www.fabsurplus.com/sdi_catalog/salesItemDetails.do?id=91559</v>
      </c>
      <c r="B2065" s="5" t="s">
        <v>5646</v>
      </c>
      <c r="C2065" s="5" t="s">
        <v>5647</v>
      </c>
      <c r="D2065" s="5" t="s">
        <v>5648</v>
      </c>
      <c r="E2065" s="5" t="s">
        <v>5570</v>
      </c>
      <c r="F2065" s="5" t="s">
        <v>16</v>
      </c>
      <c r="G2065" s="5" t="s">
        <v>17</v>
      </c>
      <c r="H2065" s="5"/>
      <c r="I2065" s="6" t="n">
        <v>38504</v>
      </c>
      <c r="J2065" s="5" t="s">
        <v>19</v>
      </c>
      <c r="K2065" s="5"/>
      <c r="L2065" s="5" t="s">
        <v>112</v>
      </c>
    </row>
    <row r="2066" customFormat="false" ht="13.35" hidden="false" customHeight="true" outlineLevel="0" collapsed="false">
      <c r="A2066" s="2" t="str">
        <f aca="false">HYPERLINK("https://www.fabsurplus.com/sdi_catalog/salesItemDetails.do?id=91560")</f>
        <v>https://www.fabsurplus.com/sdi_catalog/salesItemDetails.do?id=91560</v>
      </c>
      <c r="B2066" s="2" t="s">
        <v>5649</v>
      </c>
      <c r="C2066" s="2" t="s">
        <v>5647</v>
      </c>
      <c r="D2066" s="2" t="s">
        <v>5648</v>
      </c>
      <c r="E2066" s="2" t="s">
        <v>5570</v>
      </c>
      <c r="F2066" s="2" t="s">
        <v>16</v>
      </c>
      <c r="G2066" s="2" t="s">
        <v>17</v>
      </c>
      <c r="H2066" s="2"/>
      <c r="I2066" s="3" t="n">
        <v>38504</v>
      </c>
      <c r="J2066" s="2" t="s">
        <v>19</v>
      </c>
      <c r="K2066" s="2"/>
      <c r="L2066" s="2" t="s">
        <v>112</v>
      </c>
    </row>
    <row r="2067" customFormat="false" ht="13.35" hidden="false" customHeight="true" outlineLevel="0" collapsed="false">
      <c r="A2067" s="5" t="str">
        <f aca="false">HYPERLINK("https://www.fabsurplus.com/sdi_catalog/salesItemDetails.do?id=91561")</f>
        <v>https://www.fabsurplus.com/sdi_catalog/salesItemDetails.do?id=91561</v>
      </c>
      <c r="B2067" s="5" t="s">
        <v>5650</v>
      </c>
      <c r="C2067" s="5" t="s">
        <v>5647</v>
      </c>
      <c r="D2067" s="5" t="s">
        <v>5648</v>
      </c>
      <c r="E2067" s="5" t="s">
        <v>5570</v>
      </c>
      <c r="F2067" s="5" t="s">
        <v>16</v>
      </c>
      <c r="G2067" s="5" t="s">
        <v>17</v>
      </c>
      <c r="H2067" s="5"/>
      <c r="I2067" s="6" t="n">
        <v>38869</v>
      </c>
      <c r="J2067" s="5" t="s">
        <v>19</v>
      </c>
      <c r="K2067" s="5"/>
      <c r="L2067" s="5" t="s">
        <v>112</v>
      </c>
    </row>
    <row r="2068" customFormat="false" ht="13.35" hidden="false" customHeight="true" outlineLevel="0" collapsed="false">
      <c r="A2068" s="5" t="str">
        <f aca="false">HYPERLINK("https://www.fabsurplus.com/sdi_catalog/salesItemDetails.do?id=91567")</f>
        <v>https://www.fabsurplus.com/sdi_catalog/salesItemDetails.do?id=91567</v>
      </c>
      <c r="B2068" s="5" t="s">
        <v>5651</v>
      </c>
      <c r="C2068" s="5" t="s">
        <v>5647</v>
      </c>
      <c r="D2068" s="5" t="s">
        <v>5652</v>
      </c>
      <c r="E2068" s="5" t="s">
        <v>5653</v>
      </c>
      <c r="F2068" s="5" t="s">
        <v>16</v>
      </c>
      <c r="G2068" s="5" t="s">
        <v>36</v>
      </c>
      <c r="H2068" s="5" t="s">
        <v>26</v>
      </c>
      <c r="I2068" s="6" t="n">
        <v>37408</v>
      </c>
      <c r="J2068" s="5" t="s">
        <v>19</v>
      </c>
      <c r="K2068" s="5" t="s">
        <v>20</v>
      </c>
      <c r="L2068" s="7" t="s">
        <v>5654</v>
      </c>
    </row>
    <row r="2069" customFormat="false" ht="13.35" hidden="false" customHeight="true" outlineLevel="0" collapsed="false">
      <c r="A2069" s="2" t="str">
        <f aca="false">HYPERLINK("https://www.fabsurplus.com/sdi_catalog/salesItemDetails.do?id=91562")</f>
        <v>https://www.fabsurplus.com/sdi_catalog/salesItemDetails.do?id=91562</v>
      </c>
      <c r="B2069" s="2" t="s">
        <v>5655</v>
      </c>
      <c r="C2069" s="2" t="s">
        <v>5647</v>
      </c>
      <c r="D2069" s="2" t="s">
        <v>5656</v>
      </c>
      <c r="E2069" s="2" t="s">
        <v>5595</v>
      </c>
      <c r="F2069" s="2" t="s">
        <v>16</v>
      </c>
      <c r="G2069" s="2" t="s">
        <v>17</v>
      </c>
      <c r="H2069" s="2"/>
      <c r="I2069" s="3" t="n">
        <v>41426</v>
      </c>
      <c r="J2069" s="2" t="s">
        <v>19</v>
      </c>
      <c r="K2069" s="2"/>
      <c r="L2069" s="2" t="s">
        <v>112</v>
      </c>
    </row>
    <row r="2070" customFormat="false" ht="13.35" hidden="false" customHeight="true" outlineLevel="0" collapsed="false">
      <c r="A2070" s="5" t="str">
        <f aca="false">HYPERLINK("https://www.fabsurplus.com/sdi_catalog/salesItemDetails.do?id=92709")</f>
        <v>https://www.fabsurplus.com/sdi_catalog/salesItemDetails.do?id=92709</v>
      </c>
      <c r="B2070" s="5" t="s">
        <v>5657</v>
      </c>
      <c r="C2070" s="5" t="s">
        <v>5658</v>
      </c>
      <c r="D2070" s="5" t="s">
        <v>5630</v>
      </c>
      <c r="E2070" s="5" t="s">
        <v>3893</v>
      </c>
      <c r="F2070" s="5" t="s">
        <v>16</v>
      </c>
      <c r="G2070" s="5" t="s">
        <v>663</v>
      </c>
      <c r="H2070" s="5" t="s">
        <v>26</v>
      </c>
      <c r="I2070" s="6" t="n">
        <v>38869</v>
      </c>
      <c r="J2070" s="5" t="s">
        <v>19</v>
      </c>
      <c r="K2070" s="5" t="s">
        <v>20</v>
      </c>
      <c r="L2070" s="7" t="s">
        <v>5659</v>
      </c>
    </row>
    <row r="2071" customFormat="false" ht="13.35" hidden="false" customHeight="true" outlineLevel="0" collapsed="false">
      <c r="A2071" s="2" t="str">
        <f aca="false">HYPERLINK("https://www.fabsurplus.com/sdi_catalog/salesItemDetails.do?id=92710")</f>
        <v>https://www.fabsurplus.com/sdi_catalog/salesItemDetails.do?id=92710</v>
      </c>
      <c r="B2071" s="2" t="s">
        <v>5660</v>
      </c>
      <c r="C2071" s="2" t="s">
        <v>5658</v>
      </c>
      <c r="D2071" s="2" t="s">
        <v>5630</v>
      </c>
      <c r="E2071" s="2" t="s">
        <v>3893</v>
      </c>
      <c r="F2071" s="2" t="s">
        <v>16</v>
      </c>
      <c r="G2071" s="2" t="s">
        <v>663</v>
      </c>
      <c r="H2071" s="2"/>
      <c r="I2071" s="3" t="n">
        <v>38869</v>
      </c>
      <c r="J2071" s="2" t="s">
        <v>19</v>
      </c>
      <c r="K2071" s="2"/>
      <c r="L2071" s="2" t="s">
        <v>112</v>
      </c>
    </row>
    <row r="2072" customFormat="false" ht="13.35" hidden="false" customHeight="true" outlineLevel="0" collapsed="false">
      <c r="A2072" s="5" t="str">
        <f aca="false">HYPERLINK("https://www.fabsurplus.com/sdi_catalog/salesItemDetails.do?id=95619")</f>
        <v>https://www.fabsurplus.com/sdi_catalog/salesItemDetails.do?id=95619</v>
      </c>
      <c r="B2072" s="5" t="s">
        <v>5661</v>
      </c>
      <c r="C2072" s="5" t="s">
        <v>5658</v>
      </c>
      <c r="D2072" s="5" t="s">
        <v>5630</v>
      </c>
      <c r="E2072" s="5" t="s">
        <v>3893</v>
      </c>
      <c r="F2072" s="5" t="s">
        <v>16</v>
      </c>
      <c r="G2072" s="5" t="s">
        <v>663</v>
      </c>
      <c r="H2072" s="5" t="s">
        <v>26</v>
      </c>
      <c r="I2072" s="6" t="n">
        <v>38869</v>
      </c>
      <c r="J2072" s="5" t="s">
        <v>19</v>
      </c>
      <c r="K2072" s="5" t="s">
        <v>20</v>
      </c>
      <c r="L2072" s="5" t="s">
        <v>112</v>
      </c>
    </row>
    <row r="2073" customFormat="false" ht="13.35" hidden="false" customHeight="true" outlineLevel="0" collapsed="false">
      <c r="A2073" s="5" t="str">
        <f aca="false">HYPERLINK("https://www.fabsurplus.com/sdi_catalog/salesItemDetails.do?id=101673")</f>
        <v>https://www.fabsurplus.com/sdi_catalog/salesItemDetails.do?id=101673</v>
      </c>
      <c r="B2073" s="5" t="s">
        <v>5662</v>
      </c>
      <c r="C2073" s="5" t="s">
        <v>5663</v>
      </c>
      <c r="D2073" s="5" t="s">
        <v>5664</v>
      </c>
      <c r="E2073" s="5" t="s">
        <v>5665</v>
      </c>
      <c r="F2073" s="5" t="s">
        <v>16</v>
      </c>
      <c r="G2073" s="5" t="s">
        <v>36</v>
      </c>
      <c r="H2073" s="5"/>
      <c r="I2073" s="5"/>
      <c r="J2073" s="5" t="s">
        <v>19</v>
      </c>
      <c r="K2073" s="5"/>
      <c r="L2073" s="5"/>
    </row>
    <row r="2074" customFormat="false" ht="13.35" hidden="false" customHeight="true" outlineLevel="0" collapsed="false">
      <c r="A2074" s="2" t="str">
        <f aca="false">HYPERLINK("https://www.fabsurplus.com/sdi_catalog/salesItemDetails.do?id=103171")</f>
        <v>https://www.fabsurplus.com/sdi_catalog/salesItemDetails.do?id=103171</v>
      </c>
      <c r="B2074" s="2" t="s">
        <v>5666</v>
      </c>
      <c r="C2074" s="2" t="s">
        <v>5667</v>
      </c>
      <c r="D2074" s="2" t="s">
        <v>5668</v>
      </c>
      <c r="E2074" s="2" t="s">
        <v>5669</v>
      </c>
      <c r="F2074" s="2" t="s">
        <v>16</v>
      </c>
      <c r="G2074" s="2"/>
      <c r="H2074" s="2"/>
      <c r="I2074" s="2"/>
      <c r="J2074" s="2" t="s">
        <v>47</v>
      </c>
      <c r="K2074" s="2"/>
      <c r="L2074" s="2"/>
    </row>
    <row r="2075" customFormat="false" ht="13.35" hidden="false" customHeight="true" outlineLevel="0" collapsed="false">
      <c r="A2075" s="5" t="str">
        <f aca="false">HYPERLINK("https://www.fabsurplus.com/sdi_catalog/salesItemDetails.do?id=103041")</f>
        <v>https://www.fabsurplus.com/sdi_catalog/salesItemDetails.do?id=103041</v>
      </c>
      <c r="B2075" s="5" t="s">
        <v>5670</v>
      </c>
      <c r="C2075" s="5" t="s">
        <v>5671</v>
      </c>
      <c r="D2075" s="5" t="s">
        <v>5672</v>
      </c>
      <c r="E2075" s="5" t="s">
        <v>5673</v>
      </c>
      <c r="F2075" s="5" t="s">
        <v>16</v>
      </c>
      <c r="G2075" s="5" t="s">
        <v>499</v>
      </c>
      <c r="H2075" s="5"/>
      <c r="I2075" s="5"/>
      <c r="J2075" s="5" t="s">
        <v>19</v>
      </c>
      <c r="K2075" s="5"/>
      <c r="L2075" s="7" t="s">
        <v>5674</v>
      </c>
    </row>
    <row r="2076" customFormat="false" ht="13.35" hidden="false" customHeight="true" outlineLevel="0" collapsed="false">
      <c r="A2076" s="5" t="str">
        <f aca="false">HYPERLINK("https://www.fabsurplus.com/sdi_catalog/salesItemDetails.do?id=98495")</f>
        <v>https://www.fabsurplus.com/sdi_catalog/salesItemDetails.do?id=98495</v>
      </c>
      <c r="B2076" s="5" t="s">
        <v>5675</v>
      </c>
      <c r="C2076" s="5" t="s">
        <v>5676</v>
      </c>
      <c r="D2076" s="5" t="s">
        <v>5677</v>
      </c>
      <c r="E2076" s="5" t="s">
        <v>5678</v>
      </c>
      <c r="F2076" s="5" t="s">
        <v>125</v>
      </c>
      <c r="G2076" s="5" t="s">
        <v>5679</v>
      </c>
      <c r="H2076" s="5" t="s">
        <v>26</v>
      </c>
      <c r="I2076" s="5"/>
      <c r="J2076" s="5" t="s">
        <v>19</v>
      </c>
      <c r="K2076" s="5" t="s">
        <v>20</v>
      </c>
      <c r="L2076" s="5" t="s">
        <v>1417</v>
      </c>
    </row>
    <row r="2077" customFormat="false" ht="13.35" hidden="false" customHeight="true" outlineLevel="0" collapsed="false">
      <c r="A2077" s="2" t="str">
        <f aca="false">HYPERLINK("https://www.fabsurplus.com/sdi_catalog/salesItemDetails.do?id=101733")</f>
        <v>https://www.fabsurplus.com/sdi_catalog/salesItemDetails.do?id=101733</v>
      </c>
      <c r="B2077" s="2" t="s">
        <v>5680</v>
      </c>
      <c r="C2077" s="2" t="s">
        <v>5676</v>
      </c>
      <c r="D2077" s="2" t="s">
        <v>5681</v>
      </c>
      <c r="E2077" s="2" t="s">
        <v>5682</v>
      </c>
      <c r="F2077" s="2" t="s">
        <v>16</v>
      </c>
      <c r="G2077" s="2"/>
      <c r="H2077" s="2"/>
      <c r="I2077" s="3" t="n">
        <v>36312</v>
      </c>
      <c r="J2077" s="2" t="s">
        <v>47</v>
      </c>
      <c r="K2077" s="2"/>
      <c r="L2077" s="2"/>
    </row>
    <row r="2078" customFormat="false" ht="13.35" hidden="false" customHeight="true" outlineLevel="0" collapsed="false">
      <c r="A2078" s="2" t="str">
        <f aca="false">HYPERLINK("https://www.fabsurplus.com/sdi_catalog/salesItemDetails.do?id=98496")</f>
        <v>https://www.fabsurplus.com/sdi_catalog/salesItemDetails.do?id=98496</v>
      </c>
      <c r="B2078" s="2" t="s">
        <v>5683</v>
      </c>
      <c r="C2078" s="2" t="s">
        <v>5676</v>
      </c>
      <c r="D2078" s="2" t="s">
        <v>5684</v>
      </c>
      <c r="E2078" s="2" t="s">
        <v>5685</v>
      </c>
      <c r="F2078" s="2" t="s">
        <v>16</v>
      </c>
      <c r="G2078" s="2" t="s">
        <v>5679</v>
      </c>
      <c r="H2078" s="2"/>
      <c r="I2078" s="2"/>
      <c r="J2078" s="2" t="s">
        <v>19</v>
      </c>
      <c r="K2078" s="2"/>
      <c r="L2078" s="2" t="s">
        <v>1417</v>
      </c>
    </row>
    <row r="2079" customFormat="false" ht="13.35" hidden="false" customHeight="true" outlineLevel="0" collapsed="false">
      <c r="A2079" s="2" t="str">
        <f aca="false">HYPERLINK("https://www.fabsurplus.com/sdi_catalog/salesItemDetails.do?id=96021")</f>
        <v>https://www.fabsurplus.com/sdi_catalog/salesItemDetails.do?id=96021</v>
      </c>
      <c r="B2079" s="2" t="s">
        <v>5686</v>
      </c>
      <c r="C2079" s="2" t="s">
        <v>5687</v>
      </c>
      <c r="D2079" s="2" t="s">
        <v>5688</v>
      </c>
      <c r="E2079" s="2" t="s">
        <v>5689</v>
      </c>
      <c r="F2079" s="2" t="s">
        <v>16</v>
      </c>
      <c r="G2079" s="2" t="s">
        <v>499</v>
      </c>
      <c r="H2079" s="2"/>
      <c r="I2079" s="2"/>
      <c r="J2079" s="2" t="s">
        <v>19</v>
      </c>
      <c r="K2079" s="2"/>
      <c r="L2079" s="4" t="s">
        <v>209</v>
      </c>
    </row>
    <row r="2080" customFormat="false" ht="13.35" hidden="false" customHeight="true" outlineLevel="0" collapsed="false">
      <c r="A2080" s="5" t="str">
        <f aca="false">HYPERLINK("https://www.fabsurplus.com/sdi_catalog/salesItemDetails.do?id=96022")</f>
        <v>https://www.fabsurplus.com/sdi_catalog/salesItemDetails.do?id=96022</v>
      </c>
      <c r="B2080" s="5" t="s">
        <v>5690</v>
      </c>
      <c r="C2080" s="5" t="s">
        <v>5687</v>
      </c>
      <c r="D2080" s="5" t="s">
        <v>5688</v>
      </c>
      <c r="E2080" s="5" t="s">
        <v>5689</v>
      </c>
      <c r="F2080" s="5" t="s">
        <v>16</v>
      </c>
      <c r="G2080" s="5" t="s">
        <v>499</v>
      </c>
      <c r="H2080" s="5"/>
      <c r="I2080" s="5"/>
      <c r="J2080" s="5" t="s">
        <v>19</v>
      </c>
      <c r="K2080" s="5"/>
      <c r="L2080" s="7" t="s">
        <v>209</v>
      </c>
    </row>
    <row r="2081" customFormat="false" ht="13.35" hidden="false" customHeight="true" outlineLevel="0" collapsed="false">
      <c r="A2081" s="2" t="str">
        <f aca="false">HYPERLINK("https://www.fabsurplus.com/sdi_catalog/salesItemDetails.do?id=101727")</f>
        <v>https://www.fabsurplus.com/sdi_catalog/salesItemDetails.do?id=101727</v>
      </c>
      <c r="B2081" s="2" t="s">
        <v>5691</v>
      </c>
      <c r="C2081" s="2" t="s">
        <v>5692</v>
      </c>
      <c r="D2081" s="2" t="s">
        <v>5693</v>
      </c>
      <c r="E2081" s="2" t="s">
        <v>5694</v>
      </c>
      <c r="F2081" s="2" t="s">
        <v>16</v>
      </c>
      <c r="G2081" s="2" t="s">
        <v>4332</v>
      </c>
      <c r="H2081" s="2"/>
      <c r="I2081" s="3" t="n">
        <v>38869</v>
      </c>
      <c r="J2081" s="2"/>
      <c r="K2081" s="2"/>
      <c r="L2081" s="2"/>
    </row>
    <row r="2082" customFormat="false" ht="13.35" hidden="false" customHeight="true" outlineLevel="0" collapsed="false">
      <c r="A2082" s="5" t="str">
        <f aca="false">HYPERLINK("https://www.fabsurplus.com/sdi_catalog/salesItemDetails.do?id=100709")</f>
        <v>https://www.fabsurplus.com/sdi_catalog/salesItemDetails.do?id=100709</v>
      </c>
      <c r="B2082" s="5" t="s">
        <v>5695</v>
      </c>
      <c r="C2082" s="5" t="s">
        <v>5696</v>
      </c>
      <c r="D2082" s="5" t="s">
        <v>5697</v>
      </c>
      <c r="E2082" s="5" t="s">
        <v>5698</v>
      </c>
      <c r="F2082" s="5" t="s">
        <v>176</v>
      </c>
      <c r="G2082" s="5"/>
      <c r="H2082" s="5"/>
      <c r="I2082" s="6" t="n">
        <v>39234</v>
      </c>
      <c r="J2082" s="5" t="s">
        <v>19</v>
      </c>
      <c r="K2082" s="5"/>
      <c r="L2082" s="5" t="s">
        <v>584</v>
      </c>
    </row>
    <row r="2083" customFormat="false" ht="13.35" hidden="false" customHeight="true" outlineLevel="0" collapsed="false">
      <c r="A2083" s="2" t="str">
        <f aca="false">HYPERLINK("https://www.fabsurplus.com/sdi_catalog/salesItemDetails.do?id=102894")</f>
        <v>https://www.fabsurplus.com/sdi_catalog/salesItemDetails.do?id=102894</v>
      </c>
      <c r="B2083" s="2" t="s">
        <v>5699</v>
      </c>
      <c r="C2083" s="2" t="s">
        <v>5700</v>
      </c>
      <c r="D2083" s="2" t="s">
        <v>5701</v>
      </c>
      <c r="E2083" s="2" t="s">
        <v>5702</v>
      </c>
      <c r="F2083" s="2" t="s">
        <v>16</v>
      </c>
      <c r="G2083" s="2" t="s">
        <v>36</v>
      </c>
      <c r="H2083" s="2"/>
      <c r="I2083" s="3" t="n">
        <v>35217</v>
      </c>
      <c r="J2083" s="2" t="s">
        <v>19</v>
      </c>
      <c r="K2083" s="2"/>
      <c r="L2083" s="2" t="s">
        <v>5702</v>
      </c>
    </row>
    <row r="2084" customFormat="false" ht="13.35" hidden="false" customHeight="true" outlineLevel="0" collapsed="false">
      <c r="A2084" s="5" t="str">
        <f aca="false">HYPERLINK("https://www.fabsurplus.com/sdi_catalog/salesItemDetails.do?id=91875")</f>
        <v>https://www.fabsurplus.com/sdi_catalog/salesItemDetails.do?id=91875</v>
      </c>
      <c r="B2084" s="5" t="s">
        <v>5703</v>
      </c>
      <c r="C2084" s="5" t="s">
        <v>5700</v>
      </c>
      <c r="D2084" s="5" t="s">
        <v>5704</v>
      </c>
      <c r="E2084" s="5" t="s">
        <v>5705</v>
      </c>
      <c r="F2084" s="5" t="s">
        <v>16</v>
      </c>
      <c r="G2084" s="5" t="s">
        <v>5706</v>
      </c>
      <c r="H2084" s="5" t="s">
        <v>18</v>
      </c>
      <c r="I2084" s="6" t="n">
        <v>35582</v>
      </c>
      <c r="J2084" s="5" t="s">
        <v>19</v>
      </c>
      <c r="K2084" s="5" t="s">
        <v>20</v>
      </c>
      <c r="L2084" s="7" t="s">
        <v>5707</v>
      </c>
    </row>
    <row r="2085" customFormat="false" ht="13.35" hidden="false" customHeight="true" outlineLevel="0" collapsed="false">
      <c r="A2085" s="5" t="str">
        <f aca="false">HYPERLINK("https://www.fabsurplus.com/sdi_catalog/salesItemDetails.do?id=91873")</f>
        <v>https://www.fabsurplus.com/sdi_catalog/salesItemDetails.do?id=91873</v>
      </c>
      <c r="B2085" s="5" t="s">
        <v>5708</v>
      </c>
      <c r="C2085" s="5" t="s">
        <v>5709</v>
      </c>
      <c r="D2085" s="5" t="s">
        <v>5710</v>
      </c>
      <c r="E2085" s="5" t="s">
        <v>5711</v>
      </c>
      <c r="F2085" s="5" t="s">
        <v>16</v>
      </c>
      <c r="G2085" s="5" t="s">
        <v>5706</v>
      </c>
      <c r="H2085" s="5" t="s">
        <v>3723</v>
      </c>
      <c r="I2085" s="6" t="n">
        <v>36312</v>
      </c>
      <c r="J2085" s="5" t="s">
        <v>19</v>
      </c>
      <c r="K2085" s="5" t="s">
        <v>20</v>
      </c>
      <c r="L2085" s="7" t="s">
        <v>5712</v>
      </c>
    </row>
    <row r="2086" customFormat="false" ht="13.35" hidden="false" customHeight="true" outlineLevel="0" collapsed="false">
      <c r="A2086" s="5" t="str">
        <f aca="false">HYPERLINK("https://www.fabsurplus.com/sdi_catalog/salesItemDetails.do?id=103042")</f>
        <v>https://www.fabsurplus.com/sdi_catalog/salesItemDetails.do?id=103042</v>
      </c>
      <c r="B2086" s="5" t="s">
        <v>5713</v>
      </c>
      <c r="C2086" s="5" t="s">
        <v>5714</v>
      </c>
      <c r="D2086" s="5" t="s">
        <v>5715</v>
      </c>
      <c r="E2086" s="5" t="s">
        <v>5716</v>
      </c>
      <c r="F2086" s="5" t="s">
        <v>16</v>
      </c>
      <c r="G2086" s="5"/>
      <c r="H2086" s="5"/>
      <c r="I2086" s="5"/>
      <c r="J2086" s="5" t="s">
        <v>19</v>
      </c>
      <c r="K2086" s="5"/>
      <c r="L2086" s="7" t="s">
        <v>5717</v>
      </c>
    </row>
    <row r="2087" customFormat="false" ht="13.35" hidden="false" customHeight="true" outlineLevel="0" collapsed="false">
      <c r="A2087" s="2" t="str">
        <f aca="false">HYPERLINK("https://www.fabsurplus.com/sdi_catalog/salesItemDetails.do?id=102765")</f>
        <v>https://www.fabsurplus.com/sdi_catalog/salesItemDetails.do?id=102765</v>
      </c>
      <c r="B2087" s="2" t="s">
        <v>5718</v>
      </c>
      <c r="C2087" s="2" t="s">
        <v>5714</v>
      </c>
      <c r="D2087" s="2" t="s">
        <v>5719</v>
      </c>
      <c r="E2087" s="2" t="s">
        <v>2183</v>
      </c>
      <c r="F2087" s="2" t="s">
        <v>16</v>
      </c>
      <c r="G2087" s="2" t="s">
        <v>160</v>
      </c>
      <c r="H2087" s="2"/>
      <c r="I2087" s="2"/>
      <c r="J2087" s="2" t="s">
        <v>19</v>
      </c>
      <c r="K2087" s="2"/>
      <c r="L2087" s="4" t="s">
        <v>5720</v>
      </c>
    </row>
    <row r="2088" customFormat="false" ht="13.35" hidden="false" customHeight="true" outlineLevel="0" collapsed="false">
      <c r="A2088" s="2" t="str">
        <f aca="false">HYPERLINK("https://www.fabsurplus.com/sdi_catalog/salesItemDetails.do?id=90239")</f>
        <v>https://www.fabsurplus.com/sdi_catalog/salesItemDetails.do?id=90239</v>
      </c>
      <c r="B2088" s="2" t="s">
        <v>5721</v>
      </c>
      <c r="C2088" s="2" t="s">
        <v>5722</v>
      </c>
      <c r="D2088" s="2" t="s">
        <v>5356</v>
      </c>
      <c r="E2088" s="2" t="s">
        <v>5723</v>
      </c>
      <c r="F2088" s="2" t="s">
        <v>16</v>
      </c>
      <c r="G2088" s="2" t="s">
        <v>5724</v>
      </c>
      <c r="H2088" s="2" t="s">
        <v>26</v>
      </c>
      <c r="I2088" s="2"/>
      <c r="J2088" s="2" t="s">
        <v>19</v>
      </c>
      <c r="K2088" s="2" t="s">
        <v>20</v>
      </c>
      <c r="L2088" s="4" t="s">
        <v>3500</v>
      </c>
    </row>
    <row r="2089" customFormat="false" ht="13.35" hidden="false" customHeight="true" outlineLevel="0" collapsed="false">
      <c r="A2089" s="5" t="str">
        <f aca="false">HYPERLINK("https://www.fabsurplus.com/sdi_catalog/salesItemDetails.do?id=72930")</f>
        <v>https://www.fabsurplus.com/sdi_catalog/salesItemDetails.do?id=72930</v>
      </c>
      <c r="B2089" s="5" t="s">
        <v>5725</v>
      </c>
      <c r="C2089" s="5" t="s">
        <v>5726</v>
      </c>
      <c r="D2089" s="5" t="s">
        <v>5727</v>
      </c>
      <c r="E2089" s="5" t="s">
        <v>5728</v>
      </c>
      <c r="F2089" s="5" t="s">
        <v>16</v>
      </c>
      <c r="G2089" s="5" t="s">
        <v>160</v>
      </c>
      <c r="H2089" s="5" t="s">
        <v>96</v>
      </c>
      <c r="I2089" s="5"/>
      <c r="J2089" s="5" t="s">
        <v>47</v>
      </c>
      <c r="K2089" s="5" t="s">
        <v>20</v>
      </c>
      <c r="L2089" s="7" t="s">
        <v>5729</v>
      </c>
    </row>
    <row r="2090" customFormat="false" ht="13.35" hidden="false" customHeight="true" outlineLevel="0" collapsed="false">
      <c r="A2090" s="2" t="str">
        <f aca="false">HYPERLINK("https://www.fabsurplus.com/sdi_catalog/salesItemDetails.do?id=102529")</f>
        <v>https://www.fabsurplus.com/sdi_catalog/salesItemDetails.do?id=102529</v>
      </c>
      <c r="B2090" s="2" t="s">
        <v>5730</v>
      </c>
      <c r="C2090" s="2" t="s">
        <v>5731</v>
      </c>
      <c r="D2090" s="2" t="s">
        <v>5732</v>
      </c>
      <c r="E2090" s="2" t="s">
        <v>206</v>
      </c>
      <c r="F2090" s="2" t="s">
        <v>16</v>
      </c>
      <c r="G2090" s="2"/>
      <c r="H2090" s="2"/>
      <c r="I2090" s="2"/>
      <c r="J2090" s="2" t="s">
        <v>47</v>
      </c>
      <c r="K2090" s="2"/>
      <c r="L2090" s="2"/>
    </row>
    <row r="2091" customFormat="false" ht="13.35" hidden="false" customHeight="true" outlineLevel="0" collapsed="false">
      <c r="A2091" s="5" t="str">
        <f aca="false">HYPERLINK("https://www.fabsurplus.com/sdi_catalog/salesItemDetails.do?id=101685")</f>
        <v>https://www.fabsurplus.com/sdi_catalog/salesItemDetails.do?id=101685</v>
      </c>
      <c r="B2091" s="5" t="s">
        <v>5733</v>
      </c>
      <c r="C2091" s="5" t="s">
        <v>5734</v>
      </c>
      <c r="D2091" s="5" t="s">
        <v>5735</v>
      </c>
      <c r="E2091" s="5" t="s">
        <v>4694</v>
      </c>
      <c r="F2091" s="5" t="s">
        <v>16</v>
      </c>
      <c r="G2091" s="5" t="s">
        <v>181</v>
      </c>
      <c r="H2091" s="5"/>
      <c r="I2091" s="5"/>
      <c r="J2091" s="5" t="s">
        <v>47</v>
      </c>
      <c r="K2091" s="5"/>
      <c r="L2091" s="5" t="s">
        <v>474</v>
      </c>
    </row>
    <row r="2092" customFormat="false" ht="13.35" hidden="false" customHeight="true" outlineLevel="0" collapsed="false">
      <c r="A2092" s="5" t="str">
        <f aca="false">HYPERLINK("https://www.fabsurplus.com/sdi_catalog/salesItemDetails.do?id=102379")</f>
        <v>https://www.fabsurplus.com/sdi_catalog/salesItemDetails.do?id=102379</v>
      </c>
      <c r="B2092" s="5" t="s">
        <v>5736</v>
      </c>
      <c r="C2092" s="5" t="s">
        <v>5737</v>
      </c>
      <c r="D2092" s="5" t="s">
        <v>5738</v>
      </c>
      <c r="E2092" s="5" t="s">
        <v>5739</v>
      </c>
      <c r="F2092" s="5" t="s">
        <v>16</v>
      </c>
      <c r="G2092" s="5" t="s">
        <v>17</v>
      </c>
      <c r="H2092" s="5" t="s">
        <v>26</v>
      </c>
      <c r="I2092" s="5"/>
      <c r="J2092" s="5" t="s">
        <v>19</v>
      </c>
      <c r="K2092" s="5" t="s">
        <v>20</v>
      </c>
      <c r="L2092" s="7" t="s">
        <v>5740</v>
      </c>
    </row>
    <row r="2093" customFormat="false" ht="13.35" hidden="false" customHeight="true" outlineLevel="0" collapsed="false">
      <c r="A2093" s="5" t="str">
        <f aca="false">HYPERLINK("https://www.fabsurplus.com/sdi_catalog/salesItemDetails.do?id=90170")</f>
        <v>https://www.fabsurplus.com/sdi_catalog/salesItemDetails.do?id=90170</v>
      </c>
      <c r="B2093" s="5" t="s">
        <v>5741</v>
      </c>
      <c r="C2093" s="5" t="s">
        <v>5742</v>
      </c>
      <c r="D2093" s="5" t="s">
        <v>5743</v>
      </c>
      <c r="E2093" s="5" t="s">
        <v>4284</v>
      </c>
      <c r="F2093" s="5" t="s">
        <v>125</v>
      </c>
      <c r="G2093" s="5" t="s">
        <v>138</v>
      </c>
      <c r="H2093" s="5"/>
      <c r="I2093" s="5"/>
      <c r="J2093" s="5" t="s">
        <v>19</v>
      </c>
      <c r="K2093" s="5"/>
      <c r="L2093" s="5" t="s">
        <v>2498</v>
      </c>
    </row>
    <row r="2094" customFormat="false" ht="13.35" hidden="false" customHeight="true" outlineLevel="0" collapsed="false">
      <c r="A2094" s="2" t="str">
        <f aca="false">HYPERLINK("https://www.fabsurplus.com/sdi_catalog/salesItemDetails.do?id=101853")</f>
        <v>https://www.fabsurplus.com/sdi_catalog/salesItemDetails.do?id=101853</v>
      </c>
      <c r="B2094" s="2" t="s">
        <v>5744</v>
      </c>
      <c r="C2094" s="2" t="s">
        <v>5745</v>
      </c>
      <c r="D2094" s="2" t="s">
        <v>5746</v>
      </c>
      <c r="E2094" s="2" t="s">
        <v>5747</v>
      </c>
      <c r="F2094" s="2" t="s">
        <v>125</v>
      </c>
      <c r="G2094" s="2" t="s">
        <v>181</v>
      </c>
      <c r="H2094" s="2" t="s">
        <v>18</v>
      </c>
      <c r="I2094" s="3" t="n">
        <v>40299</v>
      </c>
      <c r="J2094" s="2" t="s">
        <v>19</v>
      </c>
      <c r="K2094" s="2" t="s">
        <v>20</v>
      </c>
      <c r="L2094" s="2"/>
    </row>
    <row r="2095" customFormat="false" ht="13.35" hidden="false" customHeight="true" outlineLevel="0" collapsed="false">
      <c r="A2095" s="2" t="str">
        <f aca="false">HYPERLINK("https://www.fabsurplus.com/sdi_catalog/salesItemDetails.do?id=101840")</f>
        <v>https://www.fabsurplus.com/sdi_catalog/salesItemDetails.do?id=101840</v>
      </c>
      <c r="B2095" s="2" t="s">
        <v>5748</v>
      </c>
      <c r="C2095" s="2" t="s">
        <v>5745</v>
      </c>
      <c r="D2095" s="2" t="s">
        <v>5746</v>
      </c>
      <c r="E2095" s="2" t="s">
        <v>184</v>
      </c>
      <c r="F2095" s="2" t="s">
        <v>16</v>
      </c>
      <c r="G2095" s="2" t="s">
        <v>240</v>
      </c>
      <c r="H2095" s="2" t="s">
        <v>26</v>
      </c>
      <c r="I2095" s="3" t="n">
        <v>40330</v>
      </c>
      <c r="J2095" s="2" t="s">
        <v>19</v>
      </c>
      <c r="K2095" s="2" t="s">
        <v>20</v>
      </c>
      <c r="L2095" s="4" t="s">
        <v>5749</v>
      </c>
    </row>
    <row r="2096" customFormat="false" ht="13.35" hidden="false" customHeight="true" outlineLevel="0" collapsed="false">
      <c r="A2096" s="5" t="str">
        <f aca="false">HYPERLINK("https://www.fabsurplus.com/sdi_catalog/salesItemDetails.do?id=101841")</f>
        <v>https://www.fabsurplus.com/sdi_catalog/salesItemDetails.do?id=101841</v>
      </c>
      <c r="B2096" s="5" t="s">
        <v>5750</v>
      </c>
      <c r="C2096" s="5" t="s">
        <v>5745</v>
      </c>
      <c r="D2096" s="5" t="s">
        <v>5746</v>
      </c>
      <c r="E2096" s="5" t="s">
        <v>184</v>
      </c>
      <c r="F2096" s="5" t="s">
        <v>16</v>
      </c>
      <c r="G2096" s="5" t="s">
        <v>181</v>
      </c>
      <c r="H2096" s="5" t="s">
        <v>26</v>
      </c>
      <c r="I2096" s="6" t="n">
        <v>38139</v>
      </c>
      <c r="J2096" s="5" t="s">
        <v>19</v>
      </c>
      <c r="K2096" s="5" t="s">
        <v>20</v>
      </c>
      <c r="L2096" s="7" t="s">
        <v>5751</v>
      </c>
    </row>
    <row r="2097" customFormat="false" ht="13.35" hidden="false" customHeight="true" outlineLevel="0" collapsed="false">
      <c r="A2097" s="2" t="str">
        <f aca="false">HYPERLINK("https://www.fabsurplus.com/sdi_catalog/salesItemDetails.do?id=102951")</f>
        <v>https://www.fabsurplus.com/sdi_catalog/salesItemDetails.do?id=102951</v>
      </c>
      <c r="B2097" s="2" t="s">
        <v>5752</v>
      </c>
      <c r="C2097" s="2" t="s">
        <v>5753</v>
      </c>
      <c r="D2097" s="2" t="s">
        <v>5754</v>
      </c>
      <c r="E2097" s="2" t="s">
        <v>5755</v>
      </c>
      <c r="F2097" s="2" t="s">
        <v>16</v>
      </c>
      <c r="G2097" s="2" t="s">
        <v>499</v>
      </c>
      <c r="H2097" s="2"/>
      <c r="I2097" s="3" t="n">
        <v>40695</v>
      </c>
      <c r="J2097" s="2" t="s">
        <v>19</v>
      </c>
      <c r="K2097" s="2"/>
      <c r="L2097" s="4" t="s">
        <v>5756</v>
      </c>
    </row>
    <row r="2098" customFormat="false" ht="13.35" hidden="false" customHeight="true" outlineLevel="0" collapsed="false">
      <c r="A2098" s="5" t="str">
        <f aca="false">HYPERLINK("https://www.fabsurplus.com/sdi_catalog/salesItemDetails.do?id=102572")</f>
        <v>https://www.fabsurplus.com/sdi_catalog/salesItemDetails.do?id=102572</v>
      </c>
      <c r="B2098" s="5" t="s">
        <v>5757</v>
      </c>
      <c r="C2098" s="5" t="s">
        <v>5758</v>
      </c>
      <c r="D2098" s="5" t="s">
        <v>5759</v>
      </c>
      <c r="E2098" s="5" t="s">
        <v>2893</v>
      </c>
      <c r="F2098" s="5" t="s">
        <v>16</v>
      </c>
      <c r="G2098" s="5"/>
      <c r="H2098" s="5"/>
      <c r="I2098" s="5"/>
      <c r="J2098" s="5" t="s">
        <v>47</v>
      </c>
      <c r="K2098" s="5"/>
      <c r="L2098" s="5"/>
    </row>
    <row r="2099" customFormat="false" ht="13.35" hidden="false" customHeight="true" outlineLevel="0" collapsed="false">
      <c r="A2099" s="2" t="str">
        <f aca="false">HYPERLINK("https://www.fabsurplus.com/sdi_catalog/salesItemDetails.do?id=88139")</f>
        <v>https://www.fabsurplus.com/sdi_catalog/salesItemDetails.do?id=88139</v>
      </c>
      <c r="B2099" s="2" t="s">
        <v>5760</v>
      </c>
      <c r="C2099" s="2" t="s">
        <v>5758</v>
      </c>
      <c r="D2099" s="2" t="s">
        <v>5761</v>
      </c>
      <c r="E2099" s="2" t="s">
        <v>87</v>
      </c>
      <c r="F2099" s="2" t="s">
        <v>58</v>
      </c>
      <c r="G2099" s="2" t="s">
        <v>88</v>
      </c>
      <c r="H2099" s="2"/>
      <c r="I2099" s="2"/>
      <c r="J2099" s="2" t="s">
        <v>19</v>
      </c>
      <c r="K2099" s="2"/>
      <c r="L2099" s="2" t="s">
        <v>89</v>
      </c>
    </row>
    <row r="2100" customFormat="false" ht="13.35" hidden="false" customHeight="true" outlineLevel="0" collapsed="false">
      <c r="A2100" s="2" t="str">
        <f aca="false">HYPERLINK("https://www.fabsurplus.com/sdi_catalog/salesItemDetails.do?id=102573")</f>
        <v>https://www.fabsurplus.com/sdi_catalog/salesItemDetails.do?id=102573</v>
      </c>
      <c r="B2100" s="2" t="s">
        <v>5762</v>
      </c>
      <c r="C2100" s="2" t="s">
        <v>5758</v>
      </c>
      <c r="D2100" s="2" t="s">
        <v>5763</v>
      </c>
      <c r="E2100" s="2" t="s">
        <v>2893</v>
      </c>
      <c r="F2100" s="2" t="s">
        <v>16</v>
      </c>
      <c r="G2100" s="2"/>
      <c r="H2100" s="2"/>
      <c r="I2100" s="2"/>
      <c r="J2100" s="2" t="s">
        <v>47</v>
      </c>
      <c r="K2100" s="2"/>
      <c r="L2100" s="2"/>
    </row>
    <row r="2101" customFormat="false" ht="13.35" hidden="false" customHeight="true" outlineLevel="0" collapsed="false">
      <c r="A2101" s="5" t="str">
        <f aca="false">HYPERLINK("https://www.fabsurplus.com/sdi_catalog/salesItemDetails.do?id=86465")</f>
        <v>https://www.fabsurplus.com/sdi_catalog/salesItemDetails.do?id=86465</v>
      </c>
      <c r="B2101" s="5" t="s">
        <v>5764</v>
      </c>
      <c r="C2101" s="5" t="s">
        <v>5765</v>
      </c>
      <c r="D2101" s="5" t="s">
        <v>5766</v>
      </c>
      <c r="E2101" s="5" t="s">
        <v>41</v>
      </c>
      <c r="F2101" s="5" t="s">
        <v>16</v>
      </c>
      <c r="G2101" s="5" t="s">
        <v>17</v>
      </c>
      <c r="H2101" s="5" t="s">
        <v>26</v>
      </c>
      <c r="I2101" s="6" t="n">
        <v>39234</v>
      </c>
      <c r="J2101" s="5" t="s">
        <v>19</v>
      </c>
      <c r="K2101" s="5" t="s">
        <v>20</v>
      </c>
      <c r="L2101" s="7" t="s">
        <v>5767</v>
      </c>
    </row>
    <row r="2102" customFormat="false" ht="13.35" hidden="false" customHeight="true" outlineLevel="0" collapsed="false">
      <c r="A2102" s="2" t="str">
        <f aca="false">HYPERLINK("https://www.fabsurplus.com/sdi_catalog/salesItemDetails.do?id=102976")</f>
        <v>https://www.fabsurplus.com/sdi_catalog/salesItemDetails.do?id=102976</v>
      </c>
      <c r="B2102" s="2" t="s">
        <v>5768</v>
      </c>
      <c r="C2102" s="2" t="s">
        <v>5765</v>
      </c>
      <c r="D2102" s="2" t="s">
        <v>5769</v>
      </c>
      <c r="E2102" s="2" t="s">
        <v>2639</v>
      </c>
      <c r="F2102" s="2" t="s">
        <v>16</v>
      </c>
      <c r="G2102" s="2" t="s">
        <v>17</v>
      </c>
      <c r="H2102" s="2"/>
      <c r="I2102" s="3" t="n">
        <v>39234</v>
      </c>
      <c r="J2102" s="2" t="s">
        <v>19</v>
      </c>
      <c r="K2102" s="2"/>
      <c r="L2102" s="2"/>
    </row>
    <row r="2103" customFormat="false" ht="13.35" hidden="false" customHeight="true" outlineLevel="0" collapsed="false">
      <c r="A2103" s="5" t="str">
        <f aca="false">HYPERLINK("https://www.fabsurplus.com/sdi_catalog/salesItemDetails.do?id=102977")</f>
        <v>https://www.fabsurplus.com/sdi_catalog/salesItemDetails.do?id=102977</v>
      </c>
      <c r="B2103" s="5" t="s">
        <v>5770</v>
      </c>
      <c r="C2103" s="5" t="s">
        <v>5765</v>
      </c>
      <c r="D2103" s="5" t="s">
        <v>5769</v>
      </c>
      <c r="E2103" s="5" t="s">
        <v>2639</v>
      </c>
      <c r="F2103" s="5" t="s">
        <v>16</v>
      </c>
      <c r="G2103" s="5" t="s">
        <v>17</v>
      </c>
      <c r="H2103" s="5"/>
      <c r="I2103" s="6" t="n">
        <v>39234</v>
      </c>
      <c r="J2103" s="5" t="s">
        <v>19</v>
      </c>
      <c r="K2103" s="5"/>
      <c r="L2103" s="5"/>
    </row>
    <row r="2104" customFormat="false" ht="13.35" hidden="false" customHeight="true" outlineLevel="0" collapsed="false">
      <c r="A2104" s="2" t="str">
        <f aca="false">HYPERLINK("https://www.fabsurplus.com/sdi_catalog/salesItemDetails.do?id=102978")</f>
        <v>https://www.fabsurplus.com/sdi_catalog/salesItemDetails.do?id=102978</v>
      </c>
      <c r="B2104" s="2" t="s">
        <v>5771</v>
      </c>
      <c r="C2104" s="2" t="s">
        <v>5765</v>
      </c>
      <c r="D2104" s="2" t="s">
        <v>5769</v>
      </c>
      <c r="E2104" s="2" t="s">
        <v>2639</v>
      </c>
      <c r="F2104" s="2" t="s">
        <v>16</v>
      </c>
      <c r="G2104" s="2" t="s">
        <v>17</v>
      </c>
      <c r="H2104" s="2"/>
      <c r="I2104" s="3" t="n">
        <v>39234</v>
      </c>
      <c r="J2104" s="2" t="s">
        <v>19</v>
      </c>
      <c r="K2104" s="2"/>
      <c r="L2104" s="2"/>
    </row>
    <row r="2105" customFormat="false" ht="13.35" hidden="false" customHeight="true" outlineLevel="0" collapsed="false">
      <c r="A2105" s="5" t="str">
        <f aca="false">HYPERLINK("https://www.fabsurplus.com/sdi_catalog/salesItemDetails.do?id=102979")</f>
        <v>https://www.fabsurplus.com/sdi_catalog/salesItemDetails.do?id=102979</v>
      </c>
      <c r="B2105" s="5" t="s">
        <v>5772</v>
      </c>
      <c r="C2105" s="5" t="s">
        <v>5765</v>
      </c>
      <c r="D2105" s="5" t="s">
        <v>5769</v>
      </c>
      <c r="E2105" s="5" t="s">
        <v>2639</v>
      </c>
      <c r="F2105" s="5" t="s">
        <v>16</v>
      </c>
      <c r="G2105" s="5" t="s">
        <v>17</v>
      </c>
      <c r="H2105" s="5"/>
      <c r="I2105" s="6" t="n">
        <v>39234</v>
      </c>
      <c r="J2105" s="5" t="s">
        <v>19</v>
      </c>
      <c r="K2105" s="5"/>
      <c r="L2105" s="5"/>
    </row>
    <row r="2106" customFormat="false" ht="13.35" hidden="false" customHeight="true" outlineLevel="0" collapsed="false">
      <c r="A2106" s="2" t="str">
        <f aca="false">HYPERLINK("https://www.fabsurplus.com/sdi_catalog/salesItemDetails.do?id=97873")</f>
        <v>https://www.fabsurplus.com/sdi_catalog/salesItemDetails.do?id=97873</v>
      </c>
      <c r="B2106" s="2" t="s">
        <v>5773</v>
      </c>
      <c r="C2106" s="2" t="s">
        <v>5765</v>
      </c>
      <c r="D2106" s="2" t="s">
        <v>5769</v>
      </c>
      <c r="E2106" s="2" t="s">
        <v>2639</v>
      </c>
      <c r="F2106" s="2" t="s">
        <v>16</v>
      </c>
      <c r="G2106" s="2"/>
      <c r="H2106" s="2"/>
      <c r="I2106" s="2"/>
      <c r="J2106" s="2" t="s">
        <v>19</v>
      </c>
      <c r="K2106" s="2"/>
      <c r="L2106" s="2"/>
    </row>
    <row r="2107" customFormat="false" ht="13.35" hidden="false" customHeight="true" outlineLevel="0" collapsed="false">
      <c r="A2107" s="5" t="str">
        <f aca="false">HYPERLINK("https://www.fabsurplus.com/sdi_catalog/salesItemDetails.do?id=97874")</f>
        <v>https://www.fabsurplus.com/sdi_catalog/salesItemDetails.do?id=97874</v>
      </c>
      <c r="B2107" s="5" t="s">
        <v>5774</v>
      </c>
      <c r="C2107" s="5" t="s">
        <v>5765</v>
      </c>
      <c r="D2107" s="5" t="s">
        <v>5769</v>
      </c>
      <c r="E2107" s="5" t="s">
        <v>2639</v>
      </c>
      <c r="F2107" s="5" t="s">
        <v>16</v>
      </c>
      <c r="G2107" s="5"/>
      <c r="H2107" s="5"/>
      <c r="I2107" s="5"/>
      <c r="J2107" s="5" t="s">
        <v>19</v>
      </c>
      <c r="K2107" s="5"/>
      <c r="L2107" s="5"/>
    </row>
    <row r="2108" customFormat="false" ht="13.35" hidden="false" customHeight="true" outlineLevel="0" collapsed="false">
      <c r="A2108" s="2" t="str">
        <f aca="false">HYPERLINK("https://www.fabsurplus.com/sdi_catalog/salesItemDetails.do?id=97875")</f>
        <v>https://www.fabsurplus.com/sdi_catalog/salesItemDetails.do?id=97875</v>
      </c>
      <c r="B2108" s="2" t="s">
        <v>5775</v>
      </c>
      <c r="C2108" s="2" t="s">
        <v>5765</v>
      </c>
      <c r="D2108" s="2" t="s">
        <v>5769</v>
      </c>
      <c r="E2108" s="2" t="s">
        <v>2639</v>
      </c>
      <c r="F2108" s="2" t="s">
        <v>16</v>
      </c>
      <c r="G2108" s="2" t="s">
        <v>17</v>
      </c>
      <c r="H2108" s="2"/>
      <c r="I2108" s="3" t="n">
        <v>38869</v>
      </c>
      <c r="J2108" s="2" t="s">
        <v>19</v>
      </c>
      <c r="K2108" s="2"/>
      <c r="L2108" s="2"/>
    </row>
    <row r="2109" customFormat="false" ht="13.35" hidden="false" customHeight="true" outlineLevel="0" collapsed="false">
      <c r="A2109" s="5" t="str">
        <f aca="false">HYPERLINK("https://www.fabsurplus.com/sdi_catalog/salesItemDetails.do?id=97876")</f>
        <v>https://www.fabsurplus.com/sdi_catalog/salesItemDetails.do?id=97876</v>
      </c>
      <c r="B2109" s="5" t="s">
        <v>5776</v>
      </c>
      <c r="C2109" s="5" t="s">
        <v>5765</v>
      </c>
      <c r="D2109" s="5" t="s">
        <v>5769</v>
      </c>
      <c r="E2109" s="5" t="s">
        <v>2639</v>
      </c>
      <c r="F2109" s="5" t="s">
        <v>16</v>
      </c>
      <c r="G2109" s="5"/>
      <c r="H2109" s="5"/>
      <c r="I2109" s="5"/>
      <c r="J2109" s="5" t="s">
        <v>19</v>
      </c>
      <c r="K2109" s="5"/>
      <c r="L2109" s="5"/>
    </row>
    <row r="2110" customFormat="false" ht="13.35" hidden="false" customHeight="true" outlineLevel="0" collapsed="false">
      <c r="A2110" s="2" t="str">
        <f aca="false">HYPERLINK("https://www.fabsurplus.com/sdi_catalog/salesItemDetails.do?id=84169")</f>
        <v>https://www.fabsurplus.com/sdi_catalog/salesItemDetails.do?id=84169</v>
      </c>
      <c r="B2110" s="2" t="s">
        <v>5777</v>
      </c>
      <c r="C2110" s="2" t="s">
        <v>5765</v>
      </c>
      <c r="D2110" s="2" t="s">
        <v>5778</v>
      </c>
      <c r="E2110" s="2" t="s">
        <v>41</v>
      </c>
      <c r="F2110" s="2" t="s">
        <v>16</v>
      </c>
      <c r="G2110" s="2" t="s">
        <v>17</v>
      </c>
      <c r="H2110" s="2" t="s">
        <v>26</v>
      </c>
      <c r="I2110" s="2"/>
      <c r="J2110" s="2" t="s">
        <v>19</v>
      </c>
      <c r="K2110" s="2" t="s">
        <v>20</v>
      </c>
      <c r="L2110" s="4" t="s">
        <v>5779</v>
      </c>
    </row>
    <row r="2111" customFormat="false" ht="13.35" hidden="false" customHeight="true" outlineLevel="0" collapsed="false">
      <c r="A2111" s="2" t="str">
        <f aca="false">HYPERLINK("https://www.fabsurplus.com/sdi_catalog/salesItemDetails.do?id=102381")</f>
        <v>https://www.fabsurplus.com/sdi_catalog/salesItemDetails.do?id=102381</v>
      </c>
      <c r="B2111" s="2" t="s">
        <v>5780</v>
      </c>
      <c r="C2111" s="2" t="s">
        <v>5781</v>
      </c>
      <c r="D2111" s="2" t="s">
        <v>5782</v>
      </c>
      <c r="E2111" s="2" t="s">
        <v>5783</v>
      </c>
      <c r="F2111" s="2" t="s">
        <v>16</v>
      </c>
      <c r="G2111" s="2"/>
      <c r="H2111" s="2"/>
      <c r="I2111" s="3" t="n">
        <v>42156</v>
      </c>
      <c r="J2111" s="2" t="s">
        <v>19</v>
      </c>
      <c r="K2111" s="2"/>
      <c r="L2111" s="2"/>
    </row>
    <row r="2112" customFormat="false" ht="13.35" hidden="false" customHeight="true" outlineLevel="0" collapsed="false">
      <c r="A2112" s="5" t="str">
        <f aca="false">HYPERLINK("https://www.fabsurplus.com/sdi_catalog/salesItemDetails.do?id=102382")</f>
        <v>https://www.fabsurplus.com/sdi_catalog/salesItemDetails.do?id=102382</v>
      </c>
      <c r="B2112" s="5" t="s">
        <v>5784</v>
      </c>
      <c r="C2112" s="5" t="s">
        <v>5781</v>
      </c>
      <c r="D2112" s="5" t="s">
        <v>5785</v>
      </c>
      <c r="E2112" s="5" t="s">
        <v>5786</v>
      </c>
      <c r="F2112" s="5" t="s">
        <v>16</v>
      </c>
      <c r="G2112" s="5" t="s">
        <v>36</v>
      </c>
      <c r="H2112" s="5"/>
      <c r="I2112" s="6" t="n">
        <v>34851</v>
      </c>
      <c r="J2112" s="5" t="s">
        <v>19</v>
      </c>
      <c r="K2112" s="5"/>
      <c r="L2112" s="5"/>
    </row>
    <row r="2113" customFormat="false" ht="13.35" hidden="false" customHeight="true" outlineLevel="0" collapsed="false">
      <c r="A2113" s="5" t="str">
        <f aca="false">HYPERLINK("https://www.fabsurplus.com/sdi_catalog/salesItemDetails.do?id=102383")</f>
        <v>https://www.fabsurplus.com/sdi_catalog/salesItemDetails.do?id=102383</v>
      </c>
      <c r="B2113" s="5" t="s">
        <v>5787</v>
      </c>
      <c r="C2113" s="5" t="s">
        <v>5788</v>
      </c>
      <c r="D2113" s="5" t="s">
        <v>5789</v>
      </c>
      <c r="E2113" s="5" t="s">
        <v>5790</v>
      </c>
      <c r="F2113" s="5" t="s">
        <v>16</v>
      </c>
      <c r="G2113" s="5" t="s">
        <v>17</v>
      </c>
      <c r="H2113" s="5"/>
      <c r="I2113" s="6" t="n">
        <v>41061</v>
      </c>
      <c r="J2113" s="5" t="s">
        <v>19</v>
      </c>
      <c r="K2113" s="5"/>
      <c r="L2113" s="5"/>
    </row>
    <row r="2114" customFormat="false" ht="13.35" hidden="false" customHeight="true" outlineLevel="0" collapsed="false">
      <c r="A2114" s="2" t="str">
        <f aca="false">HYPERLINK("https://www.fabsurplus.com/sdi_catalog/salesItemDetails.do?id=99431")</f>
        <v>https://www.fabsurplus.com/sdi_catalog/salesItemDetails.do?id=99431</v>
      </c>
      <c r="B2114" s="2" t="s">
        <v>5791</v>
      </c>
      <c r="C2114" s="2" t="s">
        <v>5792</v>
      </c>
      <c r="D2114" s="2" t="s">
        <v>5793</v>
      </c>
      <c r="E2114" s="2" t="s">
        <v>4454</v>
      </c>
      <c r="F2114" s="2" t="s">
        <v>1538</v>
      </c>
      <c r="G2114" s="2" t="s">
        <v>88</v>
      </c>
      <c r="H2114" s="2"/>
      <c r="I2114" s="2"/>
      <c r="J2114" s="2" t="s">
        <v>19</v>
      </c>
      <c r="K2114" s="2"/>
      <c r="L2114" s="2" t="s">
        <v>4412</v>
      </c>
    </row>
    <row r="2115" customFormat="false" ht="13.35" hidden="false" customHeight="true" outlineLevel="0" collapsed="false">
      <c r="A2115" s="5" t="str">
        <f aca="false">HYPERLINK("https://www.fabsurplus.com/sdi_catalog/salesItemDetails.do?id=102384")</f>
        <v>https://www.fabsurplus.com/sdi_catalog/salesItemDetails.do?id=102384</v>
      </c>
      <c r="B2115" s="5" t="s">
        <v>5794</v>
      </c>
      <c r="C2115" s="5" t="s">
        <v>5795</v>
      </c>
      <c r="D2115" s="5" t="s">
        <v>5796</v>
      </c>
      <c r="E2115" s="5" t="s">
        <v>5797</v>
      </c>
      <c r="F2115" s="5" t="s">
        <v>16</v>
      </c>
      <c r="G2115" s="5" t="s">
        <v>17</v>
      </c>
      <c r="H2115" s="5"/>
      <c r="I2115" s="6" t="n">
        <v>38139</v>
      </c>
      <c r="J2115" s="5" t="s">
        <v>19</v>
      </c>
      <c r="K2115" s="5"/>
      <c r="L2115" s="5"/>
    </row>
    <row r="2116" customFormat="false" ht="13.35" hidden="false" customHeight="true" outlineLevel="0" collapsed="false">
      <c r="A2116" s="5" t="str">
        <f aca="false">HYPERLINK("https://www.fabsurplus.com/sdi_catalog/salesItemDetails.do?id=103117")</f>
        <v>https://www.fabsurplus.com/sdi_catalog/salesItemDetails.do?id=103117</v>
      </c>
      <c r="B2116" s="5" t="s">
        <v>5798</v>
      </c>
      <c r="C2116" s="5" t="s">
        <v>5795</v>
      </c>
      <c r="D2116" s="5" t="s">
        <v>5799</v>
      </c>
      <c r="E2116" s="5" t="s">
        <v>5800</v>
      </c>
      <c r="F2116" s="5" t="s">
        <v>16</v>
      </c>
      <c r="G2116" s="5" t="s">
        <v>658</v>
      </c>
      <c r="H2116" s="5"/>
      <c r="I2116" s="5"/>
      <c r="J2116" s="5" t="s">
        <v>19</v>
      </c>
      <c r="K2116" s="5"/>
      <c r="L2116" s="5" t="s">
        <v>5801</v>
      </c>
    </row>
    <row r="2117" customFormat="false" ht="13.35" hidden="false" customHeight="true" outlineLevel="0" collapsed="false">
      <c r="A2117" s="5" t="str">
        <f aca="false">HYPERLINK("https://www.fabsurplus.com/sdi_catalog/salesItemDetails.do?id=102387")</f>
        <v>https://www.fabsurplus.com/sdi_catalog/salesItemDetails.do?id=102387</v>
      </c>
      <c r="B2117" s="5" t="s">
        <v>5802</v>
      </c>
      <c r="C2117" s="5" t="s">
        <v>5795</v>
      </c>
      <c r="D2117" s="5" t="s">
        <v>5803</v>
      </c>
      <c r="E2117" s="5" t="s">
        <v>5804</v>
      </c>
      <c r="F2117" s="5" t="s">
        <v>16</v>
      </c>
      <c r="G2117" s="5" t="s">
        <v>17</v>
      </c>
      <c r="H2117" s="5"/>
      <c r="I2117" s="6" t="n">
        <v>39234</v>
      </c>
      <c r="J2117" s="5" t="s">
        <v>19</v>
      </c>
      <c r="K2117" s="5"/>
      <c r="L2117" s="5"/>
    </row>
    <row r="2118" customFormat="false" ht="13.35" hidden="false" customHeight="true" outlineLevel="0" collapsed="false">
      <c r="A2118" s="2" t="str">
        <f aca="false">HYPERLINK("https://www.fabsurplus.com/sdi_catalog/salesItemDetails.do?id=102388")</f>
        <v>https://www.fabsurplus.com/sdi_catalog/salesItemDetails.do?id=102388</v>
      </c>
      <c r="B2118" s="2" t="s">
        <v>5805</v>
      </c>
      <c r="C2118" s="2" t="s">
        <v>5795</v>
      </c>
      <c r="D2118" s="2" t="s">
        <v>5803</v>
      </c>
      <c r="E2118" s="2" t="s">
        <v>5806</v>
      </c>
      <c r="F2118" s="2" t="s">
        <v>16</v>
      </c>
      <c r="G2118" s="2" t="s">
        <v>17</v>
      </c>
      <c r="H2118" s="2"/>
      <c r="I2118" s="3" t="n">
        <v>38869</v>
      </c>
      <c r="J2118" s="2" t="s">
        <v>19</v>
      </c>
      <c r="K2118" s="2"/>
      <c r="L2118" s="2"/>
    </row>
    <row r="2119" customFormat="false" ht="13.35" hidden="false" customHeight="true" outlineLevel="0" collapsed="false">
      <c r="A2119" s="2" t="str">
        <f aca="false">HYPERLINK("https://www.fabsurplus.com/sdi_catalog/salesItemDetails.do?id=102386")</f>
        <v>https://www.fabsurplus.com/sdi_catalog/salesItemDetails.do?id=102386</v>
      </c>
      <c r="B2119" s="2" t="s">
        <v>5807</v>
      </c>
      <c r="C2119" s="2" t="s">
        <v>5795</v>
      </c>
      <c r="D2119" s="2" t="s">
        <v>5803</v>
      </c>
      <c r="E2119" s="2" t="s">
        <v>5808</v>
      </c>
      <c r="F2119" s="2" t="s">
        <v>16</v>
      </c>
      <c r="G2119" s="2" t="s">
        <v>17</v>
      </c>
      <c r="H2119" s="2"/>
      <c r="I2119" s="3" t="n">
        <v>39234</v>
      </c>
      <c r="J2119" s="2" t="s">
        <v>19</v>
      </c>
      <c r="K2119" s="2"/>
      <c r="L2119" s="2"/>
    </row>
    <row r="2120" customFormat="false" ht="13.35" hidden="false" customHeight="true" outlineLevel="0" collapsed="false">
      <c r="A2120" s="2" t="str">
        <f aca="false">HYPERLINK("https://www.fabsurplus.com/sdi_catalog/salesItemDetails.do?id=103118")</f>
        <v>https://www.fabsurplus.com/sdi_catalog/salesItemDetails.do?id=103118</v>
      </c>
      <c r="B2120" s="2" t="s">
        <v>5809</v>
      </c>
      <c r="C2120" s="2" t="s">
        <v>5795</v>
      </c>
      <c r="D2120" s="2" t="s">
        <v>5803</v>
      </c>
      <c r="E2120" s="2" t="s">
        <v>5800</v>
      </c>
      <c r="F2120" s="2" t="s">
        <v>16</v>
      </c>
      <c r="G2120" s="2" t="s">
        <v>658</v>
      </c>
      <c r="H2120" s="2"/>
      <c r="I2120" s="2"/>
      <c r="J2120" s="2" t="s">
        <v>19</v>
      </c>
      <c r="K2120" s="2"/>
      <c r="L2120" s="4" t="s">
        <v>5810</v>
      </c>
    </row>
    <row r="2121" customFormat="false" ht="13.35" hidden="false" customHeight="true" outlineLevel="0" collapsed="false">
      <c r="A2121" s="5" t="str">
        <f aca="false">HYPERLINK("https://www.fabsurplus.com/sdi_catalog/salesItemDetails.do?id=102389")</f>
        <v>https://www.fabsurplus.com/sdi_catalog/salesItemDetails.do?id=102389</v>
      </c>
      <c r="B2121" s="5" t="s">
        <v>5811</v>
      </c>
      <c r="C2121" s="5" t="s">
        <v>5795</v>
      </c>
      <c r="D2121" s="5" t="s">
        <v>5812</v>
      </c>
      <c r="E2121" s="5" t="s">
        <v>5813</v>
      </c>
      <c r="F2121" s="5" t="s">
        <v>16</v>
      </c>
      <c r="G2121" s="5" t="s">
        <v>17</v>
      </c>
      <c r="H2121" s="5"/>
      <c r="I2121" s="6" t="n">
        <v>38869</v>
      </c>
      <c r="J2121" s="5" t="s">
        <v>19</v>
      </c>
      <c r="K2121" s="5"/>
      <c r="L2121" s="5"/>
    </row>
    <row r="2122" customFormat="false" ht="13.35" hidden="false" customHeight="true" outlineLevel="0" collapsed="false">
      <c r="A2122" s="2" t="str">
        <f aca="false">HYPERLINK("https://www.fabsurplus.com/sdi_catalog/salesItemDetails.do?id=102390")</f>
        <v>https://www.fabsurplus.com/sdi_catalog/salesItemDetails.do?id=102390</v>
      </c>
      <c r="B2122" s="2" t="s">
        <v>5814</v>
      </c>
      <c r="C2122" s="2" t="s">
        <v>5795</v>
      </c>
      <c r="D2122" s="2" t="s">
        <v>5815</v>
      </c>
      <c r="E2122" s="2" t="s">
        <v>5816</v>
      </c>
      <c r="F2122" s="2" t="s">
        <v>16</v>
      </c>
      <c r="G2122" s="2" t="s">
        <v>36</v>
      </c>
      <c r="H2122" s="2"/>
      <c r="I2122" s="3" t="n">
        <v>41061</v>
      </c>
      <c r="J2122" s="2" t="s">
        <v>19</v>
      </c>
      <c r="K2122" s="2"/>
      <c r="L2122" s="2"/>
    </row>
    <row r="2123" customFormat="false" ht="13.35" hidden="false" customHeight="true" outlineLevel="0" collapsed="false">
      <c r="A2123" s="2" t="str">
        <f aca="false">HYPERLINK("https://www.fabsurplus.com/sdi_catalog/salesItemDetails.do?id=101350")</f>
        <v>https://www.fabsurplus.com/sdi_catalog/salesItemDetails.do?id=101350</v>
      </c>
      <c r="B2123" s="2" t="s">
        <v>5817</v>
      </c>
      <c r="C2123" s="2" t="s">
        <v>5795</v>
      </c>
      <c r="D2123" s="2" t="s">
        <v>5818</v>
      </c>
      <c r="E2123" s="2" t="s">
        <v>5819</v>
      </c>
      <c r="F2123" s="2" t="s">
        <v>16</v>
      </c>
      <c r="G2123" s="2"/>
      <c r="H2123" s="2"/>
      <c r="I2123" s="2"/>
      <c r="J2123" s="2" t="s">
        <v>19</v>
      </c>
      <c r="K2123" s="2"/>
      <c r="L2123" s="2"/>
    </row>
    <row r="2124" customFormat="false" ht="13.35" hidden="false" customHeight="true" outlineLevel="0" collapsed="false">
      <c r="A2124" s="5" t="str">
        <f aca="false">HYPERLINK("https://www.fabsurplus.com/sdi_catalog/salesItemDetails.do?id=94480")</f>
        <v>https://www.fabsurplus.com/sdi_catalog/salesItemDetails.do?id=94480</v>
      </c>
      <c r="B2124" s="5" t="s">
        <v>5820</v>
      </c>
      <c r="C2124" s="5" t="s">
        <v>5821</v>
      </c>
      <c r="D2124" s="5" t="s">
        <v>5822</v>
      </c>
      <c r="E2124" s="5" t="s">
        <v>5823</v>
      </c>
      <c r="F2124" s="5" t="s">
        <v>16</v>
      </c>
      <c r="G2124" s="5"/>
      <c r="H2124" s="5"/>
      <c r="I2124" s="5"/>
      <c r="J2124" s="5" t="s">
        <v>19</v>
      </c>
      <c r="K2124" s="5"/>
      <c r="L2124" s="5"/>
    </row>
    <row r="2125" customFormat="false" ht="13.35" hidden="false" customHeight="true" outlineLevel="0" collapsed="false">
      <c r="A2125" s="5" t="str">
        <f aca="false">HYPERLINK("https://www.fabsurplus.com/sdi_catalog/salesItemDetails.do?id=103172")</f>
        <v>https://www.fabsurplus.com/sdi_catalog/salesItemDetails.do?id=103172</v>
      </c>
      <c r="B2125" s="5" t="s">
        <v>5824</v>
      </c>
      <c r="C2125" s="5" t="s">
        <v>5825</v>
      </c>
      <c r="D2125" s="5" t="s">
        <v>5826</v>
      </c>
      <c r="E2125" s="5" t="s">
        <v>5827</v>
      </c>
      <c r="F2125" s="5" t="s">
        <v>16</v>
      </c>
      <c r="G2125" s="5" t="s">
        <v>493</v>
      </c>
      <c r="H2125" s="5"/>
      <c r="I2125" s="6" t="n">
        <v>38504</v>
      </c>
      <c r="J2125" s="5" t="s">
        <v>47</v>
      </c>
      <c r="K2125" s="5"/>
      <c r="L2125" s="7" t="s">
        <v>5828</v>
      </c>
    </row>
    <row r="2126" customFormat="false" ht="13.35" hidden="false" customHeight="true" outlineLevel="0" collapsed="false">
      <c r="A2126" s="5" t="str">
        <f aca="false">HYPERLINK("https://www.fabsurplus.com/sdi_catalog/salesItemDetails.do?id=103173")</f>
        <v>https://www.fabsurplus.com/sdi_catalog/salesItemDetails.do?id=103173</v>
      </c>
      <c r="B2126" s="5" t="s">
        <v>5829</v>
      </c>
      <c r="C2126" s="5" t="s">
        <v>5825</v>
      </c>
      <c r="D2126" s="5" t="s">
        <v>5830</v>
      </c>
      <c r="E2126" s="5" t="s">
        <v>5831</v>
      </c>
      <c r="F2126" s="5" t="s">
        <v>16</v>
      </c>
      <c r="G2126" s="5" t="s">
        <v>5832</v>
      </c>
      <c r="H2126" s="5"/>
      <c r="I2126" s="6" t="n">
        <v>38139</v>
      </c>
      <c r="J2126" s="5" t="s">
        <v>47</v>
      </c>
      <c r="K2126" s="5"/>
      <c r="L2126" s="7" t="s">
        <v>5833</v>
      </c>
    </row>
    <row r="2127" customFormat="false" ht="13.35" hidden="false" customHeight="true" outlineLevel="0" collapsed="false">
      <c r="A2127" s="5" t="str">
        <f aca="false">HYPERLINK("https://www.fabsurplus.com/sdi_catalog/salesItemDetails.do?id=103175")</f>
        <v>https://www.fabsurplus.com/sdi_catalog/salesItemDetails.do?id=103175</v>
      </c>
      <c r="B2127" s="5" t="s">
        <v>5834</v>
      </c>
      <c r="C2127" s="5" t="s">
        <v>5825</v>
      </c>
      <c r="D2127" s="5" t="s">
        <v>5835</v>
      </c>
      <c r="E2127" s="5" t="s">
        <v>5836</v>
      </c>
      <c r="F2127" s="5" t="s">
        <v>16</v>
      </c>
      <c r="G2127" s="5" t="s">
        <v>17</v>
      </c>
      <c r="H2127" s="5"/>
      <c r="I2127" s="5"/>
      <c r="J2127" s="5" t="s">
        <v>47</v>
      </c>
      <c r="K2127" s="5"/>
      <c r="L2127" s="7" t="s">
        <v>5837</v>
      </c>
    </row>
    <row r="2128" customFormat="false" ht="13.35" hidden="false" customHeight="true" outlineLevel="0" collapsed="false">
      <c r="A2128" s="2" t="str">
        <f aca="false">HYPERLINK("https://www.fabsurplus.com/sdi_catalog/salesItemDetails.do?id=103174")</f>
        <v>https://www.fabsurplus.com/sdi_catalog/salesItemDetails.do?id=103174</v>
      </c>
      <c r="B2128" s="2" t="s">
        <v>5838</v>
      </c>
      <c r="C2128" s="2" t="s">
        <v>5825</v>
      </c>
      <c r="D2128" s="2" t="s">
        <v>5835</v>
      </c>
      <c r="E2128" s="2" t="s">
        <v>5839</v>
      </c>
      <c r="F2128" s="2" t="s">
        <v>16</v>
      </c>
      <c r="G2128" s="2" t="s">
        <v>17</v>
      </c>
      <c r="H2128" s="2"/>
      <c r="I2128" s="2"/>
      <c r="J2128" s="2" t="s">
        <v>47</v>
      </c>
      <c r="K2128" s="2"/>
      <c r="L2128" s="4" t="s">
        <v>5840</v>
      </c>
    </row>
    <row r="2129" customFormat="false" ht="13.35" hidden="false" customHeight="true" outlineLevel="0" collapsed="false">
      <c r="A2129" s="5" t="str">
        <f aca="false">HYPERLINK("https://www.fabsurplus.com/sdi_catalog/salesItemDetails.do?id=98862")</f>
        <v>https://www.fabsurplus.com/sdi_catalog/salesItemDetails.do?id=98862</v>
      </c>
      <c r="B2129" s="5" t="s">
        <v>5841</v>
      </c>
      <c r="C2129" s="5" t="s">
        <v>5842</v>
      </c>
      <c r="D2129" s="5" t="s">
        <v>5843</v>
      </c>
      <c r="E2129" s="5" t="s">
        <v>5844</v>
      </c>
      <c r="F2129" s="5" t="s">
        <v>16</v>
      </c>
      <c r="G2129" s="5" t="s">
        <v>493</v>
      </c>
      <c r="H2129" s="5"/>
      <c r="I2129" s="5"/>
      <c r="J2129" s="5" t="s">
        <v>47</v>
      </c>
      <c r="K2129" s="5"/>
      <c r="L2129" s="7" t="s">
        <v>5845</v>
      </c>
    </row>
    <row r="2130" customFormat="false" ht="13.35" hidden="false" customHeight="true" outlineLevel="0" collapsed="false">
      <c r="A2130" s="5" t="str">
        <f aca="false">HYPERLINK("https://www.fabsurplus.com/sdi_catalog/salesItemDetails.do?id=88140")</f>
        <v>https://www.fabsurplus.com/sdi_catalog/salesItemDetails.do?id=88140</v>
      </c>
      <c r="B2130" s="5" t="s">
        <v>5846</v>
      </c>
      <c r="C2130" s="5" t="s">
        <v>5847</v>
      </c>
      <c r="D2130" s="5" t="s">
        <v>5848</v>
      </c>
      <c r="E2130" s="5" t="s">
        <v>87</v>
      </c>
      <c r="F2130" s="5" t="s">
        <v>16</v>
      </c>
      <c r="G2130" s="5" t="s">
        <v>88</v>
      </c>
      <c r="H2130" s="5"/>
      <c r="I2130" s="5"/>
      <c r="J2130" s="5" t="s">
        <v>19</v>
      </c>
      <c r="K2130" s="5"/>
      <c r="L2130" s="5" t="s">
        <v>89</v>
      </c>
    </row>
    <row r="2131" customFormat="false" ht="13.35" hidden="false" customHeight="true" outlineLevel="0" collapsed="false">
      <c r="A2131" s="5" t="str">
        <f aca="false">HYPERLINK("https://www.fabsurplus.com/sdi_catalog/salesItemDetails.do?id=102768")</f>
        <v>https://www.fabsurplus.com/sdi_catalog/salesItemDetails.do?id=102768</v>
      </c>
      <c r="B2131" s="5" t="s">
        <v>5849</v>
      </c>
      <c r="C2131" s="5" t="s">
        <v>5850</v>
      </c>
      <c r="D2131" s="5" t="s">
        <v>5851</v>
      </c>
      <c r="E2131" s="5" t="s">
        <v>5852</v>
      </c>
      <c r="F2131" s="5" t="s">
        <v>16</v>
      </c>
      <c r="G2131" s="5" t="s">
        <v>17</v>
      </c>
      <c r="H2131" s="5"/>
      <c r="I2131" s="6" t="n">
        <v>38869</v>
      </c>
      <c r="J2131" s="5" t="s">
        <v>19</v>
      </c>
      <c r="K2131" s="5"/>
      <c r="L2131" s="7" t="s">
        <v>5853</v>
      </c>
    </row>
    <row r="2132" customFormat="false" ht="13.35" hidden="false" customHeight="true" outlineLevel="0" collapsed="false">
      <c r="A2132" s="2" t="str">
        <f aca="false">HYPERLINK("https://www.fabsurplus.com/sdi_catalog/salesItemDetails.do?id=101720")</f>
        <v>https://www.fabsurplus.com/sdi_catalog/salesItemDetails.do?id=101720</v>
      </c>
      <c r="B2132" s="2" t="s">
        <v>5854</v>
      </c>
      <c r="C2132" s="2" t="s">
        <v>5850</v>
      </c>
      <c r="D2132" s="2" t="s">
        <v>5855</v>
      </c>
      <c r="E2132" s="2" t="s">
        <v>5856</v>
      </c>
      <c r="F2132" s="2" t="s">
        <v>16</v>
      </c>
      <c r="G2132" s="2" t="s">
        <v>17</v>
      </c>
      <c r="H2132" s="2"/>
      <c r="I2132" s="2"/>
      <c r="J2132" s="2" t="s">
        <v>47</v>
      </c>
      <c r="K2132" s="2"/>
      <c r="L2132" s="2"/>
    </row>
    <row r="2133" customFormat="false" ht="13.35" hidden="false" customHeight="true" outlineLevel="0" collapsed="false">
      <c r="A2133" s="5" t="str">
        <f aca="false">HYPERLINK("https://www.fabsurplus.com/sdi_catalog/salesItemDetails.do?id=101721")</f>
        <v>https://www.fabsurplus.com/sdi_catalog/salesItemDetails.do?id=101721</v>
      </c>
      <c r="B2133" s="5" t="s">
        <v>5857</v>
      </c>
      <c r="C2133" s="5" t="s">
        <v>5850</v>
      </c>
      <c r="D2133" s="5" t="s">
        <v>5858</v>
      </c>
      <c r="E2133" s="5" t="s">
        <v>5856</v>
      </c>
      <c r="F2133" s="5" t="s">
        <v>16</v>
      </c>
      <c r="G2133" s="5" t="s">
        <v>17</v>
      </c>
      <c r="H2133" s="5"/>
      <c r="I2133" s="5"/>
      <c r="J2133" s="5" t="s">
        <v>47</v>
      </c>
      <c r="K2133" s="5"/>
      <c r="L2133" s="5"/>
    </row>
    <row r="2134" customFormat="false" ht="13.35" hidden="false" customHeight="true" outlineLevel="0" collapsed="false">
      <c r="A2134" s="2" t="str">
        <f aca="false">HYPERLINK("https://www.fabsurplus.com/sdi_catalog/salesItemDetails.do?id=93396")</f>
        <v>https://www.fabsurplus.com/sdi_catalog/salesItemDetails.do?id=93396</v>
      </c>
      <c r="B2134" s="2" t="s">
        <v>5859</v>
      </c>
      <c r="C2134" s="2" t="s">
        <v>5860</v>
      </c>
      <c r="D2134" s="2" t="s">
        <v>5861</v>
      </c>
      <c r="E2134" s="2" t="s">
        <v>5277</v>
      </c>
      <c r="F2134" s="2" t="s">
        <v>16</v>
      </c>
      <c r="G2134" s="2" t="s">
        <v>36</v>
      </c>
      <c r="H2134" s="2" t="s">
        <v>26</v>
      </c>
      <c r="I2134" s="2"/>
      <c r="J2134" s="2" t="s">
        <v>19</v>
      </c>
      <c r="K2134" s="2" t="s">
        <v>20</v>
      </c>
      <c r="L2134" s="2"/>
    </row>
    <row r="2135" customFormat="false" ht="13.35" hidden="false" customHeight="true" outlineLevel="0" collapsed="false">
      <c r="A2135" s="5" t="str">
        <f aca="false">HYPERLINK("https://www.fabsurplus.com/sdi_catalog/salesItemDetails.do?id=102391")</f>
        <v>https://www.fabsurplus.com/sdi_catalog/salesItemDetails.do?id=102391</v>
      </c>
      <c r="B2135" s="5" t="s">
        <v>5862</v>
      </c>
      <c r="C2135" s="5" t="s">
        <v>5860</v>
      </c>
      <c r="D2135" s="5" t="s">
        <v>5863</v>
      </c>
      <c r="E2135" s="5" t="s">
        <v>738</v>
      </c>
      <c r="F2135" s="5" t="s">
        <v>16</v>
      </c>
      <c r="G2135" s="5" t="s">
        <v>36</v>
      </c>
      <c r="H2135" s="5"/>
      <c r="I2135" s="6" t="n">
        <v>33756</v>
      </c>
      <c r="J2135" s="5" t="s">
        <v>19</v>
      </c>
      <c r="K2135" s="5"/>
      <c r="L2135" s="5"/>
    </row>
    <row r="2136" customFormat="false" ht="13.35" hidden="false" customHeight="true" outlineLevel="0" collapsed="false">
      <c r="A2136" s="2" t="str">
        <f aca="false">HYPERLINK("https://www.fabsurplus.com/sdi_catalog/salesItemDetails.do?id=102392")</f>
        <v>https://www.fabsurplus.com/sdi_catalog/salesItemDetails.do?id=102392</v>
      </c>
      <c r="B2136" s="2" t="s">
        <v>5864</v>
      </c>
      <c r="C2136" s="2" t="s">
        <v>5860</v>
      </c>
      <c r="D2136" s="2" t="s">
        <v>5865</v>
      </c>
      <c r="E2136" s="2" t="s">
        <v>738</v>
      </c>
      <c r="F2136" s="2" t="s">
        <v>16</v>
      </c>
      <c r="G2136" s="2" t="s">
        <v>17</v>
      </c>
      <c r="H2136" s="2"/>
      <c r="I2136" s="2"/>
      <c r="J2136" s="2" t="s">
        <v>19</v>
      </c>
      <c r="K2136" s="2"/>
      <c r="L2136" s="2"/>
    </row>
    <row r="2137" customFormat="false" ht="13.35" hidden="false" customHeight="true" outlineLevel="0" collapsed="false">
      <c r="A2137" s="5" t="str">
        <f aca="false">HYPERLINK("https://www.fabsurplus.com/sdi_catalog/salesItemDetails.do?id=102393")</f>
        <v>https://www.fabsurplus.com/sdi_catalog/salesItemDetails.do?id=102393</v>
      </c>
      <c r="B2137" s="5" t="s">
        <v>5866</v>
      </c>
      <c r="C2137" s="5" t="s">
        <v>5860</v>
      </c>
      <c r="D2137" s="5" t="s">
        <v>5867</v>
      </c>
      <c r="E2137" s="5" t="s">
        <v>5868</v>
      </c>
      <c r="F2137" s="5" t="s">
        <v>16</v>
      </c>
      <c r="G2137" s="5" t="s">
        <v>17</v>
      </c>
      <c r="H2137" s="5"/>
      <c r="I2137" s="6" t="n">
        <v>38504</v>
      </c>
      <c r="J2137" s="5" t="s">
        <v>19</v>
      </c>
      <c r="K2137" s="5"/>
      <c r="L2137" s="5"/>
    </row>
    <row r="2138" customFormat="false" ht="13.35" hidden="false" customHeight="true" outlineLevel="0" collapsed="false">
      <c r="A2138" s="2" t="str">
        <f aca="false">HYPERLINK("https://www.fabsurplus.com/sdi_catalog/salesItemDetails.do?id=90161")</f>
        <v>https://www.fabsurplus.com/sdi_catalog/salesItemDetails.do?id=90161</v>
      </c>
      <c r="B2138" s="2" t="s">
        <v>5869</v>
      </c>
      <c r="C2138" s="2" t="s">
        <v>5870</v>
      </c>
      <c r="D2138" s="2" t="s">
        <v>5871</v>
      </c>
      <c r="E2138" s="2" t="s">
        <v>5252</v>
      </c>
      <c r="F2138" s="2" t="s">
        <v>58</v>
      </c>
      <c r="G2138" s="2" t="s">
        <v>138</v>
      </c>
      <c r="H2138" s="2"/>
      <c r="I2138" s="2"/>
      <c r="J2138" s="2" t="s">
        <v>19</v>
      </c>
      <c r="K2138" s="2"/>
      <c r="L2138" s="2" t="s">
        <v>2498</v>
      </c>
    </row>
    <row r="2139" customFormat="false" ht="13.35" hidden="false" customHeight="true" outlineLevel="0" collapsed="false">
      <c r="A2139" s="5" t="str">
        <f aca="false">HYPERLINK("https://www.fabsurplus.com/sdi_catalog/salesItemDetails.do?id=90160")</f>
        <v>https://www.fabsurplus.com/sdi_catalog/salesItemDetails.do?id=90160</v>
      </c>
      <c r="B2139" s="5" t="s">
        <v>5872</v>
      </c>
      <c r="C2139" s="5" t="s">
        <v>5870</v>
      </c>
      <c r="D2139" s="5" t="s">
        <v>5873</v>
      </c>
      <c r="E2139" s="5" t="s">
        <v>5252</v>
      </c>
      <c r="F2139" s="5" t="s">
        <v>58</v>
      </c>
      <c r="G2139" s="5" t="s">
        <v>138</v>
      </c>
      <c r="H2139" s="5"/>
      <c r="I2139" s="5"/>
      <c r="J2139" s="5" t="s">
        <v>19</v>
      </c>
      <c r="K2139" s="5"/>
      <c r="L2139" s="5" t="s">
        <v>2498</v>
      </c>
    </row>
    <row r="2140" customFormat="false" ht="13.35" hidden="false" customHeight="true" outlineLevel="0" collapsed="false">
      <c r="A2140" s="5" t="str">
        <f aca="false">HYPERLINK("https://www.fabsurplus.com/sdi_catalog/salesItemDetails.do?id=90162")</f>
        <v>https://www.fabsurplus.com/sdi_catalog/salesItemDetails.do?id=90162</v>
      </c>
      <c r="B2140" s="5" t="s">
        <v>5874</v>
      </c>
      <c r="C2140" s="5" t="s">
        <v>5870</v>
      </c>
      <c r="D2140" s="5" t="s">
        <v>5875</v>
      </c>
      <c r="E2140" s="5" t="s">
        <v>5252</v>
      </c>
      <c r="F2140" s="5" t="s">
        <v>58</v>
      </c>
      <c r="G2140" s="5" t="s">
        <v>138</v>
      </c>
      <c r="H2140" s="5"/>
      <c r="I2140" s="5"/>
      <c r="J2140" s="5" t="s">
        <v>19</v>
      </c>
      <c r="K2140" s="5"/>
      <c r="L2140" s="5" t="s">
        <v>2498</v>
      </c>
    </row>
    <row r="2141" customFormat="false" ht="13.35" hidden="false" customHeight="true" outlineLevel="0" collapsed="false">
      <c r="A2141" s="5" t="str">
        <f aca="false">HYPERLINK("https://www.fabsurplus.com/sdi_catalog/salesItemDetails.do?id=90158")</f>
        <v>https://www.fabsurplus.com/sdi_catalog/salesItemDetails.do?id=90158</v>
      </c>
      <c r="B2141" s="5" t="s">
        <v>5876</v>
      </c>
      <c r="C2141" s="5" t="s">
        <v>5870</v>
      </c>
      <c r="D2141" s="5" t="s">
        <v>5877</v>
      </c>
      <c r="E2141" s="5" t="s">
        <v>4284</v>
      </c>
      <c r="F2141" s="5" t="s">
        <v>58</v>
      </c>
      <c r="G2141" s="5" t="s">
        <v>138</v>
      </c>
      <c r="H2141" s="5"/>
      <c r="I2141" s="5"/>
      <c r="J2141" s="5" t="s">
        <v>19</v>
      </c>
      <c r="K2141" s="5"/>
      <c r="L2141" s="5" t="s">
        <v>2498</v>
      </c>
    </row>
    <row r="2142" customFormat="false" ht="13.35" hidden="false" customHeight="true" outlineLevel="0" collapsed="false">
      <c r="A2142" s="2" t="str">
        <f aca="false">HYPERLINK("https://www.fabsurplus.com/sdi_catalog/salesItemDetails.do?id=90159")</f>
        <v>https://www.fabsurplus.com/sdi_catalog/salesItemDetails.do?id=90159</v>
      </c>
      <c r="B2142" s="2" t="s">
        <v>5878</v>
      </c>
      <c r="C2142" s="2" t="s">
        <v>5870</v>
      </c>
      <c r="D2142" s="2" t="s">
        <v>5879</v>
      </c>
      <c r="E2142" s="2" t="s">
        <v>4284</v>
      </c>
      <c r="F2142" s="2" t="s">
        <v>58</v>
      </c>
      <c r="G2142" s="2" t="s">
        <v>138</v>
      </c>
      <c r="H2142" s="2"/>
      <c r="I2142" s="2"/>
      <c r="J2142" s="2" t="s">
        <v>19</v>
      </c>
      <c r="K2142" s="2"/>
      <c r="L2142" s="2" t="s">
        <v>2498</v>
      </c>
    </row>
    <row r="2143" customFormat="false" ht="13.35" hidden="false" customHeight="true" outlineLevel="0" collapsed="false">
      <c r="A2143" s="2" t="str">
        <f aca="false">HYPERLINK("https://www.fabsurplus.com/sdi_catalog/salesItemDetails.do?id=87647")</f>
        <v>https://www.fabsurplus.com/sdi_catalog/salesItemDetails.do?id=87647</v>
      </c>
      <c r="B2143" s="2" t="s">
        <v>5880</v>
      </c>
      <c r="C2143" s="2" t="s">
        <v>5881</v>
      </c>
      <c r="D2143" s="2" t="s">
        <v>5882</v>
      </c>
      <c r="E2143" s="2" t="s">
        <v>5883</v>
      </c>
      <c r="F2143" s="2" t="s">
        <v>16</v>
      </c>
      <c r="G2143" s="2" t="s">
        <v>160</v>
      </c>
      <c r="H2143" s="2" t="s">
        <v>26</v>
      </c>
      <c r="I2143" s="3" t="n">
        <v>41061</v>
      </c>
      <c r="J2143" s="2" t="s">
        <v>19</v>
      </c>
      <c r="K2143" s="2" t="s">
        <v>20</v>
      </c>
      <c r="L2143" s="4" t="s">
        <v>5884</v>
      </c>
    </row>
    <row r="2144" customFormat="false" ht="13.35" hidden="false" customHeight="true" outlineLevel="0" collapsed="false">
      <c r="A2144" s="2" t="str">
        <f aca="false">HYPERLINK("https://www.fabsurplus.com/sdi_catalog/salesItemDetails.do?id=103186")</f>
        <v>https://www.fabsurplus.com/sdi_catalog/salesItemDetails.do?id=103186</v>
      </c>
      <c r="B2144" s="2" t="s">
        <v>5885</v>
      </c>
      <c r="C2144" s="2" t="s">
        <v>5881</v>
      </c>
      <c r="D2144" s="2" t="s">
        <v>5886</v>
      </c>
      <c r="E2144" s="2" t="s">
        <v>5883</v>
      </c>
      <c r="F2144" s="2" t="s">
        <v>16</v>
      </c>
      <c r="G2144" s="2" t="s">
        <v>499</v>
      </c>
      <c r="H2144" s="2"/>
      <c r="I2144" s="3" t="n">
        <v>36678</v>
      </c>
      <c r="J2144" s="2" t="s">
        <v>19</v>
      </c>
      <c r="K2144" s="2"/>
      <c r="L2144" s="2" t="s">
        <v>3305</v>
      </c>
    </row>
    <row r="2145" customFormat="false" ht="13.35" hidden="false" customHeight="true" outlineLevel="0" collapsed="false">
      <c r="A2145" s="5" t="str">
        <f aca="false">HYPERLINK("https://www.fabsurplus.com/sdi_catalog/salesItemDetails.do?id=103187")</f>
        <v>https://www.fabsurplus.com/sdi_catalog/salesItemDetails.do?id=103187</v>
      </c>
      <c r="B2145" s="5" t="s">
        <v>5887</v>
      </c>
      <c r="C2145" s="5" t="s">
        <v>5881</v>
      </c>
      <c r="D2145" s="5" t="s">
        <v>5886</v>
      </c>
      <c r="E2145" s="5" t="s">
        <v>5883</v>
      </c>
      <c r="F2145" s="5" t="s">
        <v>16</v>
      </c>
      <c r="G2145" s="5" t="s">
        <v>499</v>
      </c>
      <c r="H2145" s="5"/>
      <c r="I2145" s="6" t="n">
        <v>36678</v>
      </c>
      <c r="J2145" s="5" t="s">
        <v>19</v>
      </c>
      <c r="K2145" s="5"/>
      <c r="L2145" s="5" t="s">
        <v>3305</v>
      </c>
    </row>
    <row r="2146" customFormat="false" ht="13.35" hidden="false" customHeight="true" outlineLevel="0" collapsed="false">
      <c r="A2146" s="5" t="str">
        <f aca="false">HYPERLINK("https://www.fabsurplus.com/sdi_catalog/salesItemDetails.do?id=103188")</f>
        <v>https://www.fabsurplus.com/sdi_catalog/salesItemDetails.do?id=103188</v>
      </c>
      <c r="B2146" s="5" t="s">
        <v>5888</v>
      </c>
      <c r="C2146" s="5" t="s">
        <v>5881</v>
      </c>
      <c r="D2146" s="5" t="s">
        <v>5886</v>
      </c>
      <c r="E2146" s="5" t="s">
        <v>5883</v>
      </c>
      <c r="F2146" s="5" t="s">
        <v>16</v>
      </c>
      <c r="G2146" s="5" t="s">
        <v>499</v>
      </c>
      <c r="H2146" s="5"/>
      <c r="I2146" s="6" t="n">
        <v>36678</v>
      </c>
      <c r="J2146" s="5" t="s">
        <v>19</v>
      </c>
      <c r="K2146" s="5"/>
      <c r="L2146" s="5" t="s">
        <v>3305</v>
      </c>
    </row>
    <row r="2147" customFormat="false" ht="13.35" hidden="false" customHeight="true" outlineLevel="0" collapsed="false">
      <c r="A2147" s="5" t="str">
        <f aca="false">HYPERLINK("https://www.fabsurplus.com/sdi_catalog/salesItemDetails.do?id=103189")</f>
        <v>https://www.fabsurplus.com/sdi_catalog/salesItemDetails.do?id=103189</v>
      </c>
      <c r="B2147" s="5" t="s">
        <v>5889</v>
      </c>
      <c r="C2147" s="5" t="s">
        <v>5881</v>
      </c>
      <c r="D2147" s="5" t="s">
        <v>5886</v>
      </c>
      <c r="E2147" s="5" t="s">
        <v>5883</v>
      </c>
      <c r="F2147" s="5" t="s">
        <v>16</v>
      </c>
      <c r="G2147" s="5" t="s">
        <v>499</v>
      </c>
      <c r="H2147" s="5"/>
      <c r="I2147" s="6" t="n">
        <v>36678</v>
      </c>
      <c r="J2147" s="5" t="s">
        <v>19</v>
      </c>
      <c r="K2147" s="5"/>
      <c r="L2147" s="5" t="s">
        <v>3305</v>
      </c>
    </row>
    <row r="2148" customFormat="false" ht="13.35" hidden="false" customHeight="true" outlineLevel="0" collapsed="false">
      <c r="A2148" s="5" t="str">
        <f aca="false">HYPERLINK("https://www.fabsurplus.com/sdi_catalog/salesItemDetails.do?id=103190")</f>
        <v>https://www.fabsurplus.com/sdi_catalog/salesItemDetails.do?id=103190</v>
      </c>
      <c r="B2148" s="5" t="s">
        <v>5890</v>
      </c>
      <c r="C2148" s="5" t="s">
        <v>5881</v>
      </c>
      <c r="D2148" s="5" t="s">
        <v>5886</v>
      </c>
      <c r="E2148" s="5" t="s">
        <v>5883</v>
      </c>
      <c r="F2148" s="5" t="s">
        <v>16</v>
      </c>
      <c r="G2148" s="5" t="s">
        <v>499</v>
      </c>
      <c r="H2148" s="5"/>
      <c r="I2148" s="6" t="n">
        <v>36678</v>
      </c>
      <c r="J2148" s="5" t="s">
        <v>19</v>
      </c>
      <c r="K2148" s="5"/>
      <c r="L2148" s="5" t="s">
        <v>3305</v>
      </c>
    </row>
    <row r="2149" customFormat="false" ht="13.35" hidden="false" customHeight="true" outlineLevel="0" collapsed="false">
      <c r="A2149" s="5" t="str">
        <f aca="false">HYPERLINK("https://www.fabsurplus.com/sdi_catalog/salesItemDetails.do?id=103191")</f>
        <v>https://www.fabsurplus.com/sdi_catalog/salesItemDetails.do?id=103191</v>
      </c>
      <c r="B2149" s="5" t="s">
        <v>5891</v>
      </c>
      <c r="C2149" s="5" t="s">
        <v>5881</v>
      </c>
      <c r="D2149" s="5" t="s">
        <v>5886</v>
      </c>
      <c r="E2149" s="5" t="s">
        <v>5883</v>
      </c>
      <c r="F2149" s="5" t="s">
        <v>16</v>
      </c>
      <c r="G2149" s="5" t="s">
        <v>499</v>
      </c>
      <c r="H2149" s="5"/>
      <c r="I2149" s="6" t="n">
        <v>37408</v>
      </c>
      <c r="J2149" s="5" t="s">
        <v>19</v>
      </c>
      <c r="K2149" s="5"/>
      <c r="L2149" s="5" t="s">
        <v>3305</v>
      </c>
    </row>
    <row r="2150" customFormat="false" ht="13.35" hidden="false" customHeight="true" outlineLevel="0" collapsed="false">
      <c r="A2150" s="5" t="str">
        <f aca="false">HYPERLINK("https://www.fabsurplus.com/sdi_catalog/salesItemDetails.do?id=103192")</f>
        <v>https://www.fabsurplus.com/sdi_catalog/salesItemDetails.do?id=103192</v>
      </c>
      <c r="B2150" s="5" t="s">
        <v>5892</v>
      </c>
      <c r="C2150" s="5" t="s">
        <v>5881</v>
      </c>
      <c r="D2150" s="5" t="s">
        <v>5886</v>
      </c>
      <c r="E2150" s="5" t="s">
        <v>5883</v>
      </c>
      <c r="F2150" s="5" t="s">
        <v>16</v>
      </c>
      <c r="G2150" s="5" t="s">
        <v>499</v>
      </c>
      <c r="H2150" s="5"/>
      <c r="I2150" s="6" t="n">
        <v>37408</v>
      </c>
      <c r="J2150" s="5" t="s">
        <v>19</v>
      </c>
      <c r="K2150" s="5"/>
      <c r="L2150" s="5" t="s">
        <v>3305</v>
      </c>
    </row>
    <row r="2151" customFormat="false" ht="13.35" hidden="false" customHeight="true" outlineLevel="0" collapsed="false">
      <c r="A2151" s="5" t="str">
        <f aca="false">HYPERLINK("https://www.fabsurplus.com/sdi_catalog/salesItemDetails.do?id=103193")</f>
        <v>https://www.fabsurplus.com/sdi_catalog/salesItemDetails.do?id=103193</v>
      </c>
      <c r="B2151" s="5" t="s">
        <v>5893</v>
      </c>
      <c r="C2151" s="5" t="s">
        <v>5881</v>
      </c>
      <c r="D2151" s="5" t="s">
        <v>5886</v>
      </c>
      <c r="E2151" s="5" t="s">
        <v>5883</v>
      </c>
      <c r="F2151" s="5" t="s">
        <v>16</v>
      </c>
      <c r="G2151" s="5" t="s">
        <v>499</v>
      </c>
      <c r="H2151" s="5"/>
      <c r="I2151" s="6" t="n">
        <v>37043</v>
      </c>
      <c r="J2151" s="5" t="s">
        <v>19</v>
      </c>
      <c r="K2151" s="5"/>
      <c r="L2151" s="5" t="s">
        <v>3305</v>
      </c>
    </row>
    <row r="2152" customFormat="false" ht="13.35" hidden="false" customHeight="true" outlineLevel="0" collapsed="false">
      <c r="A2152" s="5" t="str">
        <f aca="false">HYPERLINK("https://www.fabsurplus.com/sdi_catalog/salesItemDetails.do?id=103194")</f>
        <v>https://www.fabsurplus.com/sdi_catalog/salesItemDetails.do?id=103194</v>
      </c>
      <c r="B2152" s="5" t="s">
        <v>5894</v>
      </c>
      <c r="C2152" s="5" t="s">
        <v>5881</v>
      </c>
      <c r="D2152" s="5" t="s">
        <v>5886</v>
      </c>
      <c r="E2152" s="5" t="s">
        <v>5883</v>
      </c>
      <c r="F2152" s="5" t="s">
        <v>16</v>
      </c>
      <c r="G2152" s="5" t="s">
        <v>499</v>
      </c>
      <c r="H2152" s="5"/>
      <c r="I2152" s="6" t="n">
        <v>37408</v>
      </c>
      <c r="J2152" s="5" t="s">
        <v>19</v>
      </c>
      <c r="K2152" s="5"/>
      <c r="L2152" s="5" t="s">
        <v>3305</v>
      </c>
    </row>
    <row r="2153" customFormat="false" ht="13.35" hidden="false" customHeight="true" outlineLevel="0" collapsed="false">
      <c r="A2153" s="5" t="str">
        <f aca="false">HYPERLINK("https://www.fabsurplus.com/sdi_catalog/salesItemDetails.do?id=103195")</f>
        <v>https://www.fabsurplus.com/sdi_catalog/salesItemDetails.do?id=103195</v>
      </c>
      <c r="B2153" s="5" t="s">
        <v>5895</v>
      </c>
      <c r="C2153" s="5" t="s">
        <v>5881</v>
      </c>
      <c r="D2153" s="5" t="s">
        <v>5886</v>
      </c>
      <c r="E2153" s="5" t="s">
        <v>5883</v>
      </c>
      <c r="F2153" s="5" t="s">
        <v>16</v>
      </c>
      <c r="G2153" s="5" t="s">
        <v>499</v>
      </c>
      <c r="H2153" s="5"/>
      <c r="I2153" s="6" t="n">
        <v>37043</v>
      </c>
      <c r="J2153" s="5" t="s">
        <v>19</v>
      </c>
      <c r="K2153" s="5"/>
      <c r="L2153" s="5" t="s">
        <v>3305</v>
      </c>
    </row>
    <row r="2154" customFormat="false" ht="13.35" hidden="false" customHeight="true" outlineLevel="0" collapsed="false">
      <c r="A2154" s="5" t="str">
        <f aca="false">HYPERLINK("https://www.fabsurplus.com/sdi_catalog/salesItemDetails.do?id=103196")</f>
        <v>https://www.fabsurplus.com/sdi_catalog/salesItemDetails.do?id=103196</v>
      </c>
      <c r="B2154" s="5" t="s">
        <v>5896</v>
      </c>
      <c r="C2154" s="5" t="s">
        <v>5881</v>
      </c>
      <c r="D2154" s="5" t="s">
        <v>5886</v>
      </c>
      <c r="E2154" s="5" t="s">
        <v>5883</v>
      </c>
      <c r="F2154" s="5" t="s">
        <v>16</v>
      </c>
      <c r="G2154" s="5" t="s">
        <v>499</v>
      </c>
      <c r="H2154" s="5"/>
      <c r="I2154" s="6" t="n">
        <v>37043</v>
      </c>
      <c r="J2154" s="5" t="s">
        <v>19</v>
      </c>
      <c r="K2154" s="5"/>
      <c r="L2154" s="5" t="s">
        <v>3305</v>
      </c>
    </row>
    <row r="2155" customFormat="false" ht="13.35" hidden="false" customHeight="true" outlineLevel="0" collapsed="false">
      <c r="A2155" s="5" t="str">
        <f aca="false">HYPERLINK("https://www.fabsurplus.com/sdi_catalog/salesItemDetails.do?id=103197")</f>
        <v>https://www.fabsurplus.com/sdi_catalog/salesItemDetails.do?id=103197</v>
      </c>
      <c r="B2155" s="5" t="s">
        <v>5897</v>
      </c>
      <c r="C2155" s="5" t="s">
        <v>5881</v>
      </c>
      <c r="D2155" s="5" t="s">
        <v>5886</v>
      </c>
      <c r="E2155" s="5" t="s">
        <v>5883</v>
      </c>
      <c r="F2155" s="5" t="s">
        <v>16</v>
      </c>
      <c r="G2155" s="5" t="s">
        <v>499</v>
      </c>
      <c r="H2155" s="5"/>
      <c r="I2155" s="6" t="n">
        <v>37043</v>
      </c>
      <c r="J2155" s="5" t="s">
        <v>19</v>
      </c>
      <c r="K2155" s="5"/>
      <c r="L2155" s="5" t="s">
        <v>3305</v>
      </c>
    </row>
    <row r="2156" customFormat="false" ht="13.35" hidden="false" customHeight="true" outlineLevel="0" collapsed="false">
      <c r="A2156" s="5" t="str">
        <f aca="false">HYPERLINK("https://www.fabsurplus.com/sdi_catalog/salesItemDetails.do?id=103198")</f>
        <v>https://www.fabsurplus.com/sdi_catalog/salesItemDetails.do?id=103198</v>
      </c>
      <c r="B2156" s="5" t="s">
        <v>5898</v>
      </c>
      <c r="C2156" s="5" t="s">
        <v>5881</v>
      </c>
      <c r="D2156" s="5" t="s">
        <v>5886</v>
      </c>
      <c r="E2156" s="5" t="s">
        <v>5883</v>
      </c>
      <c r="F2156" s="5" t="s">
        <v>16</v>
      </c>
      <c r="G2156" s="5" t="s">
        <v>499</v>
      </c>
      <c r="H2156" s="5"/>
      <c r="I2156" s="6" t="n">
        <v>38504</v>
      </c>
      <c r="J2156" s="5" t="s">
        <v>19</v>
      </c>
      <c r="K2156" s="5"/>
      <c r="L2156" s="5" t="s">
        <v>3305</v>
      </c>
    </row>
    <row r="2157" customFormat="false" ht="13.35" hidden="false" customHeight="true" outlineLevel="0" collapsed="false">
      <c r="A2157" s="5" t="str">
        <f aca="false">HYPERLINK("https://www.fabsurplus.com/sdi_catalog/salesItemDetails.do?id=103199")</f>
        <v>https://www.fabsurplus.com/sdi_catalog/salesItemDetails.do?id=103199</v>
      </c>
      <c r="B2157" s="5" t="s">
        <v>5899</v>
      </c>
      <c r="C2157" s="5" t="s">
        <v>5881</v>
      </c>
      <c r="D2157" s="5" t="s">
        <v>5886</v>
      </c>
      <c r="E2157" s="5" t="s">
        <v>5883</v>
      </c>
      <c r="F2157" s="5" t="s">
        <v>16</v>
      </c>
      <c r="G2157" s="5" t="s">
        <v>499</v>
      </c>
      <c r="H2157" s="5"/>
      <c r="I2157" s="6" t="n">
        <v>38504</v>
      </c>
      <c r="J2157" s="5" t="s">
        <v>19</v>
      </c>
      <c r="K2157" s="5"/>
      <c r="L2157" s="5" t="s">
        <v>3305</v>
      </c>
    </row>
    <row r="2158" customFormat="false" ht="13.35" hidden="false" customHeight="true" outlineLevel="0" collapsed="false">
      <c r="A2158" s="5" t="str">
        <f aca="false">HYPERLINK("https://www.fabsurplus.com/sdi_catalog/salesItemDetails.do?id=103200")</f>
        <v>https://www.fabsurplus.com/sdi_catalog/salesItemDetails.do?id=103200</v>
      </c>
      <c r="B2158" s="5" t="s">
        <v>5900</v>
      </c>
      <c r="C2158" s="5" t="s">
        <v>5881</v>
      </c>
      <c r="D2158" s="5" t="s">
        <v>5886</v>
      </c>
      <c r="E2158" s="5" t="s">
        <v>5883</v>
      </c>
      <c r="F2158" s="5" t="s">
        <v>16</v>
      </c>
      <c r="G2158" s="5" t="s">
        <v>499</v>
      </c>
      <c r="H2158" s="5"/>
      <c r="I2158" s="6" t="n">
        <v>37408</v>
      </c>
      <c r="J2158" s="5" t="s">
        <v>19</v>
      </c>
      <c r="K2158" s="5"/>
      <c r="L2158" s="5" t="s">
        <v>3305</v>
      </c>
    </row>
    <row r="2159" customFormat="false" ht="13.35" hidden="false" customHeight="true" outlineLevel="0" collapsed="false">
      <c r="A2159" s="2" t="str">
        <f aca="false">HYPERLINK("https://www.fabsurplus.com/sdi_catalog/salesItemDetails.do?id=103201")</f>
        <v>https://www.fabsurplus.com/sdi_catalog/salesItemDetails.do?id=103201</v>
      </c>
      <c r="B2159" s="2" t="s">
        <v>5901</v>
      </c>
      <c r="C2159" s="2" t="s">
        <v>5881</v>
      </c>
      <c r="D2159" s="2" t="s">
        <v>5902</v>
      </c>
      <c r="E2159" s="2" t="s">
        <v>5883</v>
      </c>
      <c r="F2159" s="2" t="s">
        <v>16</v>
      </c>
      <c r="G2159" s="2" t="s">
        <v>499</v>
      </c>
      <c r="H2159" s="2"/>
      <c r="I2159" s="3" t="n">
        <v>37408</v>
      </c>
      <c r="J2159" s="2" t="s">
        <v>19</v>
      </c>
      <c r="K2159" s="2"/>
      <c r="L2159" s="2" t="s">
        <v>3305</v>
      </c>
    </row>
    <row r="2160" customFormat="false" ht="13.35" hidden="false" customHeight="true" outlineLevel="0" collapsed="false">
      <c r="A2160" s="5" t="str">
        <f aca="false">HYPERLINK("https://www.fabsurplus.com/sdi_catalog/salesItemDetails.do?id=103202")</f>
        <v>https://www.fabsurplus.com/sdi_catalog/salesItemDetails.do?id=103202</v>
      </c>
      <c r="B2160" s="5" t="s">
        <v>5903</v>
      </c>
      <c r="C2160" s="5" t="s">
        <v>5881</v>
      </c>
      <c r="D2160" s="5" t="s">
        <v>5902</v>
      </c>
      <c r="E2160" s="5" t="s">
        <v>5883</v>
      </c>
      <c r="F2160" s="5" t="s">
        <v>16</v>
      </c>
      <c r="G2160" s="5" t="s">
        <v>499</v>
      </c>
      <c r="H2160" s="5"/>
      <c r="I2160" s="6" t="n">
        <v>37408</v>
      </c>
      <c r="J2160" s="5" t="s">
        <v>19</v>
      </c>
      <c r="K2160" s="5"/>
      <c r="L2160" s="5" t="s">
        <v>3305</v>
      </c>
    </row>
    <row r="2161" customFormat="false" ht="13.35" hidden="false" customHeight="true" outlineLevel="0" collapsed="false">
      <c r="A2161" s="2" t="str">
        <f aca="false">HYPERLINK("https://www.fabsurplus.com/sdi_catalog/salesItemDetails.do?id=103203")</f>
        <v>https://www.fabsurplus.com/sdi_catalog/salesItemDetails.do?id=103203</v>
      </c>
      <c r="B2161" s="2" t="s">
        <v>5904</v>
      </c>
      <c r="C2161" s="2" t="s">
        <v>5881</v>
      </c>
      <c r="D2161" s="2" t="s">
        <v>5902</v>
      </c>
      <c r="E2161" s="2" t="s">
        <v>5883</v>
      </c>
      <c r="F2161" s="2" t="s">
        <v>16</v>
      </c>
      <c r="G2161" s="2" t="s">
        <v>499</v>
      </c>
      <c r="H2161" s="2"/>
      <c r="I2161" s="3" t="n">
        <v>37408</v>
      </c>
      <c r="J2161" s="2" t="s">
        <v>19</v>
      </c>
      <c r="K2161" s="2"/>
      <c r="L2161" s="2" t="s">
        <v>3305</v>
      </c>
    </row>
    <row r="2162" customFormat="false" ht="13.35" hidden="false" customHeight="true" outlineLevel="0" collapsed="false">
      <c r="A2162" s="5" t="str">
        <f aca="false">HYPERLINK("https://www.fabsurplus.com/sdi_catalog/salesItemDetails.do?id=103204")</f>
        <v>https://www.fabsurplus.com/sdi_catalog/salesItemDetails.do?id=103204</v>
      </c>
      <c r="B2162" s="5" t="s">
        <v>5905</v>
      </c>
      <c r="C2162" s="5" t="s">
        <v>5881</v>
      </c>
      <c r="D2162" s="5" t="s">
        <v>5902</v>
      </c>
      <c r="E2162" s="5" t="s">
        <v>5883</v>
      </c>
      <c r="F2162" s="5" t="s">
        <v>16</v>
      </c>
      <c r="G2162" s="5" t="s">
        <v>499</v>
      </c>
      <c r="H2162" s="5"/>
      <c r="I2162" s="6" t="n">
        <v>38869</v>
      </c>
      <c r="J2162" s="5" t="s">
        <v>19</v>
      </c>
      <c r="K2162" s="5"/>
      <c r="L2162" s="5" t="s">
        <v>3305</v>
      </c>
    </row>
    <row r="2163" customFormat="false" ht="13.35" hidden="false" customHeight="true" outlineLevel="0" collapsed="false">
      <c r="A2163" s="2" t="str">
        <f aca="false">HYPERLINK("https://www.fabsurplus.com/sdi_catalog/salesItemDetails.do?id=103205")</f>
        <v>https://www.fabsurplus.com/sdi_catalog/salesItemDetails.do?id=103205</v>
      </c>
      <c r="B2163" s="2" t="s">
        <v>5906</v>
      </c>
      <c r="C2163" s="2" t="s">
        <v>5881</v>
      </c>
      <c r="D2163" s="2" t="s">
        <v>5902</v>
      </c>
      <c r="E2163" s="2" t="s">
        <v>5883</v>
      </c>
      <c r="F2163" s="2" t="s">
        <v>16</v>
      </c>
      <c r="G2163" s="2" t="s">
        <v>499</v>
      </c>
      <c r="H2163" s="2"/>
      <c r="I2163" s="3" t="n">
        <v>38869</v>
      </c>
      <c r="J2163" s="2" t="s">
        <v>19</v>
      </c>
      <c r="K2163" s="2"/>
      <c r="L2163" s="2" t="s">
        <v>3305</v>
      </c>
    </row>
    <row r="2164" customFormat="false" ht="13.35" hidden="false" customHeight="true" outlineLevel="0" collapsed="false">
      <c r="A2164" s="5" t="str">
        <f aca="false">HYPERLINK("https://www.fabsurplus.com/sdi_catalog/salesItemDetails.do?id=87850")</f>
        <v>https://www.fabsurplus.com/sdi_catalog/salesItemDetails.do?id=87850</v>
      </c>
      <c r="B2164" s="5" t="s">
        <v>5907</v>
      </c>
      <c r="C2164" s="5" t="s">
        <v>5881</v>
      </c>
      <c r="D2164" s="5" t="s">
        <v>5908</v>
      </c>
      <c r="E2164" s="5" t="s">
        <v>2183</v>
      </c>
      <c r="F2164" s="5" t="s">
        <v>16</v>
      </c>
      <c r="G2164" s="5" t="s">
        <v>160</v>
      </c>
      <c r="H2164" s="5"/>
      <c r="I2164" s="6" t="n">
        <v>38504</v>
      </c>
      <c r="J2164" s="5" t="s">
        <v>19</v>
      </c>
      <c r="K2164" s="5"/>
      <c r="L2164" s="5" t="s">
        <v>830</v>
      </c>
    </row>
    <row r="2165" customFormat="false" ht="13.35" hidden="false" customHeight="true" outlineLevel="0" collapsed="false">
      <c r="A2165" s="2" t="str">
        <f aca="false">HYPERLINK("https://www.fabsurplus.com/sdi_catalog/salesItemDetails.do?id=87851")</f>
        <v>https://www.fabsurplus.com/sdi_catalog/salesItemDetails.do?id=87851</v>
      </c>
      <c r="B2165" s="2" t="s">
        <v>5909</v>
      </c>
      <c r="C2165" s="2" t="s">
        <v>5881</v>
      </c>
      <c r="D2165" s="2" t="s">
        <v>5908</v>
      </c>
      <c r="E2165" s="2" t="s">
        <v>2183</v>
      </c>
      <c r="F2165" s="2" t="s">
        <v>16</v>
      </c>
      <c r="G2165" s="2" t="s">
        <v>160</v>
      </c>
      <c r="H2165" s="2"/>
      <c r="I2165" s="3" t="n">
        <v>38504</v>
      </c>
      <c r="J2165" s="2" t="s">
        <v>19</v>
      </c>
      <c r="K2165" s="2"/>
      <c r="L2165" s="2" t="s">
        <v>830</v>
      </c>
    </row>
    <row r="2166" customFormat="false" ht="13.35" hidden="false" customHeight="true" outlineLevel="0" collapsed="false">
      <c r="A2166" s="5" t="str">
        <f aca="false">HYPERLINK("https://www.fabsurplus.com/sdi_catalog/salesItemDetails.do?id=87852")</f>
        <v>https://www.fabsurplus.com/sdi_catalog/salesItemDetails.do?id=87852</v>
      </c>
      <c r="B2166" s="5" t="s">
        <v>5910</v>
      </c>
      <c r="C2166" s="5" t="s">
        <v>5881</v>
      </c>
      <c r="D2166" s="5" t="s">
        <v>5908</v>
      </c>
      <c r="E2166" s="5" t="s">
        <v>2183</v>
      </c>
      <c r="F2166" s="5" t="s">
        <v>16</v>
      </c>
      <c r="G2166" s="5" t="s">
        <v>160</v>
      </c>
      <c r="H2166" s="5"/>
      <c r="I2166" s="6" t="n">
        <v>38504</v>
      </c>
      <c r="J2166" s="5" t="s">
        <v>19</v>
      </c>
      <c r="K2166" s="5"/>
      <c r="L2166" s="5" t="s">
        <v>830</v>
      </c>
    </row>
    <row r="2167" customFormat="false" ht="13.35" hidden="false" customHeight="true" outlineLevel="0" collapsed="false">
      <c r="A2167" s="2" t="str">
        <f aca="false">HYPERLINK("https://www.fabsurplus.com/sdi_catalog/salesItemDetails.do?id=87853")</f>
        <v>https://www.fabsurplus.com/sdi_catalog/salesItemDetails.do?id=87853</v>
      </c>
      <c r="B2167" s="2" t="s">
        <v>5911</v>
      </c>
      <c r="C2167" s="2" t="s">
        <v>5881</v>
      </c>
      <c r="D2167" s="2" t="s">
        <v>5908</v>
      </c>
      <c r="E2167" s="2" t="s">
        <v>2183</v>
      </c>
      <c r="F2167" s="2" t="s">
        <v>16</v>
      </c>
      <c r="G2167" s="2" t="s">
        <v>160</v>
      </c>
      <c r="H2167" s="2"/>
      <c r="I2167" s="3" t="n">
        <v>39234</v>
      </c>
      <c r="J2167" s="2" t="s">
        <v>19</v>
      </c>
      <c r="K2167" s="2"/>
      <c r="L2167" s="2" t="s">
        <v>830</v>
      </c>
    </row>
    <row r="2168" customFormat="false" ht="13.35" hidden="false" customHeight="true" outlineLevel="0" collapsed="false">
      <c r="A2168" s="5" t="str">
        <f aca="false">HYPERLINK("https://www.fabsurplus.com/sdi_catalog/salesItemDetails.do?id=87854")</f>
        <v>https://www.fabsurplus.com/sdi_catalog/salesItemDetails.do?id=87854</v>
      </c>
      <c r="B2168" s="5" t="s">
        <v>5912</v>
      </c>
      <c r="C2168" s="5" t="s">
        <v>5881</v>
      </c>
      <c r="D2168" s="5" t="s">
        <v>5908</v>
      </c>
      <c r="E2168" s="5" t="s">
        <v>2183</v>
      </c>
      <c r="F2168" s="5" t="s">
        <v>16</v>
      </c>
      <c r="G2168" s="5" t="s">
        <v>160</v>
      </c>
      <c r="H2168" s="5"/>
      <c r="I2168" s="6" t="n">
        <v>39234</v>
      </c>
      <c r="J2168" s="5" t="s">
        <v>19</v>
      </c>
      <c r="K2168" s="5"/>
      <c r="L2168" s="5" t="s">
        <v>830</v>
      </c>
    </row>
    <row r="2169" customFormat="false" ht="13.35" hidden="false" customHeight="true" outlineLevel="0" collapsed="false">
      <c r="A2169" s="2" t="str">
        <f aca="false">HYPERLINK("https://www.fabsurplus.com/sdi_catalog/salesItemDetails.do?id=102980")</f>
        <v>https://www.fabsurplus.com/sdi_catalog/salesItemDetails.do?id=102980</v>
      </c>
      <c r="B2169" s="2" t="s">
        <v>5913</v>
      </c>
      <c r="C2169" s="2" t="s">
        <v>5914</v>
      </c>
      <c r="D2169" s="2" t="s">
        <v>5915</v>
      </c>
      <c r="E2169" s="2" t="s">
        <v>583</v>
      </c>
      <c r="F2169" s="2" t="s">
        <v>16</v>
      </c>
      <c r="G2169" s="2" t="s">
        <v>499</v>
      </c>
      <c r="H2169" s="2"/>
      <c r="I2169" s="3" t="n">
        <v>37773</v>
      </c>
      <c r="J2169" s="2" t="s">
        <v>19</v>
      </c>
      <c r="K2169" s="2"/>
      <c r="L2169" s="2"/>
    </row>
    <row r="2170" customFormat="false" ht="13.35" hidden="false" customHeight="true" outlineLevel="0" collapsed="false">
      <c r="A2170" s="2" t="str">
        <f aca="false">HYPERLINK("https://www.fabsurplus.com/sdi_catalog/salesItemDetails.do?id=94027")</f>
        <v>https://www.fabsurplus.com/sdi_catalog/salesItemDetails.do?id=94027</v>
      </c>
      <c r="B2170" s="2" t="s">
        <v>5916</v>
      </c>
      <c r="C2170" s="2" t="s">
        <v>5881</v>
      </c>
      <c r="D2170" s="2" t="s">
        <v>5917</v>
      </c>
      <c r="E2170" s="2" t="s">
        <v>1357</v>
      </c>
      <c r="F2170" s="2" t="s">
        <v>16</v>
      </c>
      <c r="G2170" s="2" t="s">
        <v>160</v>
      </c>
      <c r="H2170" s="2"/>
      <c r="I2170" s="3" t="n">
        <v>38869</v>
      </c>
      <c r="J2170" s="2" t="s">
        <v>19</v>
      </c>
      <c r="K2170" s="2"/>
      <c r="L2170" s="4" t="s">
        <v>241</v>
      </c>
    </row>
    <row r="2171" customFormat="false" ht="13.35" hidden="false" customHeight="true" outlineLevel="0" collapsed="false">
      <c r="A2171" s="2" t="str">
        <f aca="false">HYPERLINK("https://www.fabsurplus.com/sdi_catalog/salesItemDetails.do?id=100045")</f>
        <v>https://www.fabsurplus.com/sdi_catalog/salesItemDetails.do?id=100045</v>
      </c>
      <c r="B2171" s="2" t="s">
        <v>5918</v>
      </c>
      <c r="C2171" s="2" t="s">
        <v>5914</v>
      </c>
      <c r="D2171" s="2" t="s">
        <v>5919</v>
      </c>
      <c r="E2171" s="2" t="s">
        <v>1357</v>
      </c>
      <c r="F2171" s="2" t="s">
        <v>3206</v>
      </c>
      <c r="G2171" s="2"/>
      <c r="H2171" s="2"/>
      <c r="I2171" s="3" t="n">
        <v>38596</v>
      </c>
      <c r="J2171" s="2" t="s">
        <v>19</v>
      </c>
      <c r="K2171" s="2"/>
      <c r="L2171" s="4" t="s">
        <v>439</v>
      </c>
    </row>
    <row r="2172" customFormat="false" ht="13.35" hidden="false" customHeight="true" outlineLevel="0" collapsed="false">
      <c r="A2172" s="2" t="str">
        <f aca="false">HYPERLINK("https://www.fabsurplus.com/sdi_catalog/salesItemDetails.do?id=88398")</f>
        <v>https://www.fabsurplus.com/sdi_catalog/salesItemDetails.do?id=88398</v>
      </c>
      <c r="B2172" s="2" t="s">
        <v>5920</v>
      </c>
      <c r="C2172" s="2" t="s">
        <v>5914</v>
      </c>
      <c r="D2172" s="2" t="s">
        <v>5921</v>
      </c>
      <c r="E2172" s="2" t="s">
        <v>1357</v>
      </c>
      <c r="F2172" s="2" t="s">
        <v>16</v>
      </c>
      <c r="G2172" s="2" t="s">
        <v>160</v>
      </c>
      <c r="H2172" s="2" t="s">
        <v>26</v>
      </c>
      <c r="I2172" s="2"/>
      <c r="J2172" s="2" t="s">
        <v>47</v>
      </c>
      <c r="K2172" s="2" t="s">
        <v>20</v>
      </c>
      <c r="L2172" s="2"/>
    </row>
    <row r="2173" customFormat="false" ht="13.35" hidden="false" customHeight="true" outlineLevel="0" collapsed="false">
      <c r="A2173" s="2" t="str">
        <f aca="false">HYPERLINK("https://www.fabsurplus.com/sdi_catalog/salesItemDetails.do?id=92434")</f>
        <v>https://www.fabsurplus.com/sdi_catalog/salesItemDetails.do?id=92434</v>
      </c>
      <c r="B2173" s="2" t="s">
        <v>5922</v>
      </c>
      <c r="C2173" s="2" t="s">
        <v>5914</v>
      </c>
      <c r="D2173" s="2" t="s">
        <v>5921</v>
      </c>
      <c r="E2173" s="2" t="s">
        <v>1357</v>
      </c>
      <c r="F2173" s="2" t="s">
        <v>16</v>
      </c>
      <c r="G2173" s="2"/>
      <c r="H2173" s="2"/>
      <c r="I2173" s="2"/>
      <c r="J2173" s="2" t="s">
        <v>47</v>
      </c>
      <c r="K2173" s="2"/>
      <c r="L2173" s="2" t="s">
        <v>48</v>
      </c>
    </row>
    <row r="2174" customFormat="false" ht="13.35" hidden="false" customHeight="true" outlineLevel="0" collapsed="false">
      <c r="A2174" s="5" t="str">
        <f aca="false">HYPERLINK("https://www.fabsurplus.com/sdi_catalog/salesItemDetails.do?id=102627")</f>
        <v>https://www.fabsurplus.com/sdi_catalog/salesItemDetails.do?id=102627</v>
      </c>
      <c r="B2174" s="5" t="s">
        <v>5923</v>
      </c>
      <c r="C2174" s="5" t="s">
        <v>5881</v>
      </c>
      <c r="D2174" s="5" t="s">
        <v>5924</v>
      </c>
      <c r="E2174" s="5" t="s">
        <v>1357</v>
      </c>
      <c r="F2174" s="5" t="s">
        <v>2000</v>
      </c>
      <c r="G2174" s="5"/>
      <c r="H2174" s="5" t="s">
        <v>18</v>
      </c>
      <c r="I2174" s="6" t="n">
        <v>39600</v>
      </c>
      <c r="J2174" s="5" t="s">
        <v>403</v>
      </c>
      <c r="K2174" s="5"/>
      <c r="L2174" s="5" t="s">
        <v>177</v>
      </c>
    </row>
    <row r="2175" customFormat="false" ht="13.35" hidden="false" customHeight="true" outlineLevel="0" collapsed="false">
      <c r="A2175" s="2" t="str">
        <f aca="false">HYPERLINK("https://www.fabsurplus.com/sdi_catalog/salesItemDetails.do?id=80348")</f>
        <v>https://www.fabsurplus.com/sdi_catalog/salesItemDetails.do?id=80348</v>
      </c>
      <c r="B2175" s="2" t="s">
        <v>5925</v>
      </c>
      <c r="C2175" s="2" t="s">
        <v>5914</v>
      </c>
      <c r="D2175" s="2" t="s">
        <v>5926</v>
      </c>
      <c r="E2175" s="2" t="s">
        <v>5883</v>
      </c>
      <c r="F2175" s="2" t="s">
        <v>2903</v>
      </c>
      <c r="G2175" s="2" t="s">
        <v>499</v>
      </c>
      <c r="H2175" s="2" t="s">
        <v>26</v>
      </c>
      <c r="I2175" s="3" t="n">
        <v>38504</v>
      </c>
      <c r="J2175" s="2" t="s">
        <v>19</v>
      </c>
      <c r="K2175" s="2" t="s">
        <v>20</v>
      </c>
      <c r="L2175" s="4" t="s">
        <v>5927</v>
      </c>
    </row>
    <row r="2176" customFormat="false" ht="13.35" hidden="false" customHeight="true" outlineLevel="0" collapsed="false">
      <c r="A2176" s="2" t="str">
        <f aca="false">HYPERLINK("https://www.fabsurplus.com/sdi_catalog/salesItemDetails.do?id=87855")</f>
        <v>https://www.fabsurplus.com/sdi_catalog/salesItemDetails.do?id=87855</v>
      </c>
      <c r="B2176" s="2" t="s">
        <v>5928</v>
      </c>
      <c r="C2176" s="2" t="s">
        <v>5881</v>
      </c>
      <c r="D2176" s="2" t="s">
        <v>5929</v>
      </c>
      <c r="E2176" s="2" t="s">
        <v>5883</v>
      </c>
      <c r="F2176" s="2" t="s">
        <v>16</v>
      </c>
      <c r="G2176" s="2" t="s">
        <v>160</v>
      </c>
      <c r="H2176" s="2"/>
      <c r="I2176" s="3" t="n">
        <v>38869</v>
      </c>
      <c r="J2176" s="2" t="s">
        <v>19</v>
      </c>
      <c r="K2176" s="2"/>
      <c r="L2176" s="2" t="s">
        <v>830</v>
      </c>
    </row>
    <row r="2177" customFormat="false" ht="13.35" hidden="false" customHeight="true" outlineLevel="0" collapsed="false">
      <c r="A2177" s="5" t="str">
        <f aca="false">HYPERLINK("https://www.fabsurplus.com/sdi_catalog/salesItemDetails.do?id=87856")</f>
        <v>https://www.fabsurplus.com/sdi_catalog/salesItemDetails.do?id=87856</v>
      </c>
      <c r="B2177" s="5" t="s">
        <v>5930</v>
      </c>
      <c r="C2177" s="5" t="s">
        <v>5881</v>
      </c>
      <c r="D2177" s="5" t="s">
        <v>5929</v>
      </c>
      <c r="E2177" s="5" t="s">
        <v>5883</v>
      </c>
      <c r="F2177" s="5" t="s">
        <v>16</v>
      </c>
      <c r="G2177" s="5" t="s">
        <v>160</v>
      </c>
      <c r="H2177" s="5"/>
      <c r="I2177" s="6" t="n">
        <v>38139</v>
      </c>
      <c r="J2177" s="5" t="s">
        <v>19</v>
      </c>
      <c r="K2177" s="5"/>
      <c r="L2177" s="5" t="s">
        <v>830</v>
      </c>
    </row>
    <row r="2178" customFormat="false" ht="13.35" hidden="false" customHeight="true" outlineLevel="0" collapsed="false">
      <c r="A2178" s="2" t="str">
        <f aca="false">HYPERLINK("https://www.fabsurplus.com/sdi_catalog/salesItemDetails.do?id=87857")</f>
        <v>https://www.fabsurplus.com/sdi_catalog/salesItemDetails.do?id=87857</v>
      </c>
      <c r="B2178" s="2" t="s">
        <v>5931</v>
      </c>
      <c r="C2178" s="2" t="s">
        <v>5881</v>
      </c>
      <c r="D2178" s="2" t="s">
        <v>5929</v>
      </c>
      <c r="E2178" s="2" t="s">
        <v>5883</v>
      </c>
      <c r="F2178" s="2" t="s">
        <v>16</v>
      </c>
      <c r="G2178" s="2" t="s">
        <v>160</v>
      </c>
      <c r="H2178" s="2"/>
      <c r="I2178" s="3" t="n">
        <v>38504</v>
      </c>
      <c r="J2178" s="2" t="s">
        <v>19</v>
      </c>
      <c r="K2178" s="2"/>
      <c r="L2178" s="2" t="s">
        <v>830</v>
      </c>
    </row>
    <row r="2179" customFormat="false" ht="13.35" hidden="false" customHeight="true" outlineLevel="0" collapsed="false">
      <c r="A2179" s="5" t="str">
        <f aca="false">HYPERLINK("https://www.fabsurplus.com/sdi_catalog/salesItemDetails.do?id=87858")</f>
        <v>https://www.fabsurplus.com/sdi_catalog/salesItemDetails.do?id=87858</v>
      </c>
      <c r="B2179" s="5" t="s">
        <v>5932</v>
      </c>
      <c r="C2179" s="5" t="s">
        <v>5881</v>
      </c>
      <c r="D2179" s="5" t="s">
        <v>5929</v>
      </c>
      <c r="E2179" s="5" t="s">
        <v>5883</v>
      </c>
      <c r="F2179" s="5" t="s">
        <v>16</v>
      </c>
      <c r="G2179" s="5" t="s">
        <v>160</v>
      </c>
      <c r="H2179" s="5"/>
      <c r="I2179" s="6" t="n">
        <v>38139</v>
      </c>
      <c r="J2179" s="5" t="s">
        <v>19</v>
      </c>
      <c r="K2179" s="5"/>
      <c r="L2179" s="5" t="s">
        <v>830</v>
      </c>
    </row>
    <row r="2180" customFormat="false" ht="13.35" hidden="false" customHeight="true" outlineLevel="0" collapsed="false">
      <c r="A2180" s="2" t="str">
        <f aca="false">HYPERLINK("https://www.fabsurplus.com/sdi_catalog/salesItemDetails.do?id=87859")</f>
        <v>https://www.fabsurplus.com/sdi_catalog/salesItemDetails.do?id=87859</v>
      </c>
      <c r="B2180" s="2" t="s">
        <v>5933</v>
      </c>
      <c r="C2180" s="2" t="s">
        <v>5881</v>
      </c>
      <c r="D2180" s="2" t="s">
        <v>5929</v>
      </c>
      <c r="E2180" s="2" t="s">
        <v>5883</v>
      </c>
      <c r="F2180" s="2" t="s">
        <v>16</v>
      </c>
      <c r="G2180" s="2" t="s">
        <v>160</v>
      </c>
      <c r="H2180" s="2"/>
      <c r="I2180" s="3" t="n">
        <v>39234</v>
      </c>
      <c r="J2180" s="2" t="s">
        <v>19</v>
      </c>
      <c r="K2180" s="2"/>
      <c r="L2180" s="2" t="s">
        <v>830</v>
      </c>
    </row>
    <row r="2181" customFormat="false" ht="13.35" hidden="false" customHeight="true" outlineLevel="0" collapsed="false">
      <c r="A2181" s="5" t="str">
        <f aca="false">HYPERLINK("https://www.fabsurplus.com/sdi_catalog/salesItemDetails.do?id=87860")</f>
        <v>https://www.fabsurplus.com/sdi_catalog/salesItemDetails.do?id=87860</v>
      </c>
      <c r="B2181" s="5" t="s">
        <v>5934</v>
      </c>
      <c r="C2181" s="5" t="s">
        <v>5881</v>
      </c>
      <c r="D2181" s="5" t="s">
        <v>5929</v>
      </c>
      <c r="E2181" s="5" t="s">
        <v>5883</v>
      </c>
      <c r="F2181" s="5" t="s">
        <v>16</v>
      </c>
      <c r="G2181" s="5" t="s">
        <v>160</v>
      </c>
      <c r="H2181" s="5"/>
      <c r="I2181" s="6" t="n">
        <v>38869</v>
      </c>
      <c r="J2181" s="5" t="s">
        <v>19</v>
      </c>
      <c r="K2181" s="5"/>
      <c r="L2181" s="5" t="s">
        <v>830</v>
      </c>
    </row>
    <row r="2182" customFormat="false" ht="13.35" hidden="false" customHeight="true" outlineLevel="0" collapsed="false">
      <c r="A2182" s="2" t="str">
        <f aca="false">HYPERLINK("https://www.fabsurplus.com/sdi_catalog/salesItemDetails.do?id=87861")</f>
        <v>https://www.fabsurplus.com/sdi_catalog/salesItemDetails.do?id=87861</v>
      </c>
      <c r="B2182" s="2" t="s">
        <v>5935</v>
      </c>
      <c r="C2182" s="2" t="s">
        <v>5881</v>
      </c>
      <c r="D2182" s="2" t="s">
        <v>5929</v>
      </c>
      <c r="E2182" s="2" t="s">
        <v>5883</v>
      </c>
      <c r="F2182" s="2" t="s">
        <v>16</v>
      </c>
      <c r="G2182" s="2" t="s">
        <v>160</v>
      </c>
      <c r="H2182" s="2"/>
      <c r="I2182" s="3" t="n">
        <v>39234</v>
      </c>
      <c r="J2182" s="2" t="s">
        <v>19</v>
      </c>
      <c r="K2182" s="2"/>
      <c r="L2182" s="2" t="s">
        <v>830</v>
      </c>
    </row>
    <row r="2183" customFormat="false" ht="13.35" hidden="false" customHeight="true" outlineLevel="0" collapsed="false">
      <c r="A2183" s="5" t="str">
        <f aca="false">HYPERLINK("https://www.fabsurplus.com/sdi_catalog/salesItemDetails.do?id=87862")</f>
        <v>https://www.fabsurplus.com/sdi_catalog/salesItemDetails.do?id=87862</v>
      </c>
      <c r="B2183" s="5" t="s">
        <v>5936</v>
      </c>
      <c r="C2183" s="5" t="s">
        <v>5881</v>
      </c>
      <c r="D2183" s="5" t="s">
        <v>5929</v>
      </c>
      <c r="E2183" s="5" t="s">
        <v>5883</v>
      </c>
      <c r="F2183" s="5" t="s">
        <v>16</v>
      </c>
      <c r="G2183" s="5" t="s">
        <v>160</v>
      </c>
      <c r="H2183" s="5"/>
      <c r="I2183" s="6" t="n">
        <v>38869</v>
      </c>
      <c r="J2183" s="5" t="s">
        <v>19</v>
      </c>
      <c r="K2183" s="5"/>
      <c r="L2183" s="5" t="s">
        <v>830</v>
      </c>
    </row>
    <row r="2184" customFormat="false" ht="13.35" hidden="false" customHeight="true" outlineLevel="0" collapsed="false">
      <c r="A2184" s="2" t="str">
        <f aca="false">HYPERLINK("https://www.fabsurplus.com/sdi_catalog/salesItemDetails.do?id=87863")</f>
        <v>https://www.fabsurplus.com/sdi_catalog/salesItemDetails.do?id=87863</v>
      </c>
      <c r="B2184" s="2" t="s">
        <v>5937</v>
      </c>
      <c r="C2184" s="2" t="s">
        <v>5881</v>
      </c>
      <c r="D2184" s="2" t="s">
        <v>5929</v>
      </c>
      <c r="E2184" s="2" t="s">
        <v>5883</v>
      </c>
      <c r="F2184" s="2" t="s">
        <v>16</v>
      </c>
      <c r="G2184" s="2" t="s">
        <v>160</v>
      </c>
      <c r="H2184" s="2"/>
      <c r="I2184" s="3" t="n">
        <v>38869</v>
      </c>
      <c r="J2184" s="2" t="s">
        <v>19</v>
      </c>
      <c r="K2184" s="2"/>
      <c r="L2184" s="2" t="s">
        <v>830</v>
      </c>
    </row>
    <row r="2185" customFormat="false" ht="13.35" hidden="false" customHeight="true" outlineLevel="0" collapsed="false">
      <c r="A2185" s="5" t="str">
        <f aca="false">HYPERLINK("https://www.fabsurplus.com/sdi_catalog/salesItemDetails.do?id=87864")</f>
        <v>https://www.fabsurplus.com/sdi_catalog/salesItemDetails.do?id=87864</v>
      </c>
      <c r="B2185" s="5" t="s">
        <v>5938</v>
      </c>
      <c r="C2185" s="5" t="s">
        <v>5881</v>
      </c>
      <c r="D2185" s="5" t="s">
        <v>5929</v>
      </c>
      <c r="E2185" s="5" t="s">
        <v>5883</v>
      </c>
      <c r="F2185" s="5" t="s">
        <v>16</v>
      </c>
      <c r="G2185" s="5" t="s">
        <v>160</v>
      </c>
      <c r="H2185" s="5"/>
      <c r="I2185" s="6" t="n">
        <v>38869</v>
      </c>
      <c r="J2185" s="5" t="s">
        <v>19</v>
      </c>
      <c r="K2185" s="5"/>
      <c r="L2185" s="5" t="s">
        <v>830</v>
      </c>
    </row>
    <row r="2186" customFormat="false" ht="13.35" hidden="false" customHeight="true" outlineLevel="0" collapsed="false">
      <c r="A2186" s="2" t="str">
        <f aca="false">HYPERLINK("https://www.fabsurplus.com/sdi_catalog/salesItemDetails.do?id=87865")</f>
        <v>https://www.fabsurplus.com/sdi_catalog/salesItemDetails.do?id=87865</v>
      </c>
      <c r="B2186" s="2" t="s">
        <v>5939</v>
      </c>
      <c r="C2186" s="2" t="s">
        <v>5881</v>
      </c>
      <c r="D2186" s="2" t="s">
        <v>5929</v>
      </c>
      <c r="E2186" s="2" t="s">
        <v>5883</v>
      </c>
      <c r="F2186" s="2" t="s">
        <v>16</v>
      </c>
      <c r="G2186" s="2" t="s">
        <v>160</v>
      </c>
      <c r="H2186" s="2"/>
      <c r="I2186" s="3" t="n">
        <v>38869</v>
      </c>
      <c r="J2186" s="2" t="s">
        <v>19</v>
      </c>
      <c r="K2186" s="2"/>
      <c r="L2186" s="2" t="s">
        <v>830</v>
      </c>
    </row>
    <row r="2187" customFormat="false" ht="13.35" hidden="false" customHeight="true" outlineLevel="0" collapsed="false">
      <c r="A2187" s="5" t="str">
        <f aca="false">HYPERLINK("https://www.fabsurplus.com/sdi_catalog/salesItemDetails.do?id=87866")</f>
        <v>https://www.fabsurplus.com/sdi_catalog/salesItemDetails.do?id=87866</v>
      </c>
      <c r="B2187" s="5" t="s">
        <v>5940</v>
      </c>
      <c r="C2187" s="5" t="s">
        <v>5881</v>
      </c>
      <c r="D2187" s="5" t="s">
        <v>5929</v>
      </c>
      <c r="E2187" s="5" t="s">
        <v>5883</v>
      </c>
      <c r="F2187" s="5" t="s">
        <v>16</v>
      </c>
      <c r="G2187" s="5" t="s">
        <v>160</v>
      </c>
      <c r="H2187" s="5"/>
      <c r="I2187" s="6" t="n">
        <v>38869</v>
      </c>
      <c r="J2187" s="5" t="s">
        <v>19</v>
      </c>
      <c r="K2187" s="5"/>
      <c r="L2187" s="5" t="s">
        <v>830</v>
      </c>
    </row>
    <row r="2188" customFormat="false" ht="13.35" hidden="false" customHeight="true" outlineLevel="0" collapsed="false">
      <c r="A2188" s="2" t="str">
        <f aca="false">HYPERLINK("https://www.fabsurplus.com/sdi_catalog/salesItemDetails.do?id=87867")</f>
        <v>https://www.fabsurplus.com/sdi_catalog/salesItemDetails.do?id=87867</v>
      </c>
      <c r="B2188" s="2" t="s">
        <v>5941</v>
      </c>
      <c r="C2188" s="2" t="s">
        <v>5881</v>
      </c>
      <c r="D2188" s="2" t="s">
        <v>5929</v>
      </c>
      <c r="E2188" s="2" t="s">
        <v>5883</v>
      </c>
      <c r="F2188" s="2" t="s">
        <v>16</v>
      </c>
      <c r="G2188" s="2" t="s">
        <v>160</v>
      </c>
      <c r="H2188" s="2"/>
      <c r="I2188" s="3" t="n">
        <v>38869</v>
      </c>
      <c r="J2188" s="2" t="s">
        <v>19</v>
      </c>
      <c r="K2188" s="2"/>
      <c r="L2188" s="2" t="s">
        <v>830</v>
      </c>
    </row>
    <row r="2189" customFormat="false" ht="13.35" hidden="false" customHeight="true" outlineLevel="0" collapsed="false">
      <c r="A2189" s="5" t="str">
        <f aca="false">HYPERLINK("https://www.fabsurplus.com/sdi_catalog/salesItemDetails.do?id=87868")</f>
        <v>https://www.fabsurplus.com/sdi_catalog/salesItemDetails.do?id=87868</v>
      </c>
      <c r="B2189" s="5" t="s">
        <v>5942</v>
      </c>
      <c r="C2189" s="5" t="s">
        <v>5881</v>
      </c>
      <c r="D2189" s="5" t="s">
        <v>5929</v>
      </c>
      <c r="E2189" s="5" t="s">
        <v>5883</v>
      </c>
      <c r="F2189" s="5" t="s">
        <v>16</v>
      </c>
      <c r="G2189" s="5" t="s">
        <v>160</v>
      </c>
      <c r="H2189" s="5"/>
      <c r="I2189" s="6" t="n">
        <v>38869</v>
      </c>
      <c r="J2189" s="5" t="s">
        <v>19</v>
      </c>
      <c r="K2189" s="5"/>
      <c r="L2189" s="5" t="s">
        <v>830</v>
      </c>
    </row>
    <row r="2190" customFormat="false" ht="13.35" hidden="false" customHeight="true" outlineLevel="0" collapsed="false">
      <c r="A2190" s="2" t="str">
        <f aca="false">HYPERLINK("https://www.fabsurplus.com/sdi_catalog/salesItemDetails.do?id=87869")</f>
        <v>https://www.fabsurplus.com/sdi_catalog/salesItemDetails.do?id=87869</v>
      </c>
      <c r="B2190" s="2" t="s">
        <v>5943</v>
      </c>
      <c r="C2190" s="2" t="s">
        <v>5881</v>
      </c>
      <c r="D2190" s="2" t="s">
        <v>5929</v>
      </c>
      <c r="E2190" s="2" t="s">
        <v>5883</v>
      </c>
      <c r="F2190" s="2" t="s">
        <v>16</v>
      </c>
      <c r="G2190" s="2" t="s">
        <v>160</v>
      </c>
      <c r="H2190" s="2"/>
      <c r="I2190" s="3" t="n">
        <v>38869</v>
      </c>
      <c r="J2190" s="2" t="s">
        <v>19</v>
      </c>
      <c r="K2190" s="2"/>
      <c r="L2190" s="2" t="s">
        <v>830</v>
      </c>
    </row>
    <row r="2191" customFormat="false" ht="13.35" hidden="false" customHeight="true" outlineLevel="0" collapsed="false">
      <c r="A2191" s="5" t="str">
        <f aca="false">HYPERLINK("https://www.fabsurplus.com/sdi_catalog/salesItemDetails.do?id=87870")</f>
        <v>https://www.fabsurplus.com/sdi_catalog/salesItemDetails.do?id=87870</v>
      </c>
      <c r="B2191" s="5" t="s">
        <v>5944</v>
      </c>
      <c r="C2191" s="5" t="s">
        <v>5881</v>
      </c>
      <c r="D2191" s="5" t="s">
        <v>5929</v>
      </c>
      <c r="E2191" s="5" t="s">
        <v>5883</v>
      </c>
      <c r="F2191" s="5" t="s">
        <v>16</v>
      </c>
      <c r="G2191" s="5" t="s">
        <v>160</v>
      </c>
      <c r="H2191" s="5"/>
      <c r="I2191" s="6" t="n">
        <v>38869</v>
      </c>
      <c r="J2191" s="5" t="s">
        <v>19</v>
      </c>
      <c r="K2191" s="5"/>
      <c r="L2191" s="5" t="s">
        <v>830</v>
      </c>
    </row>
    <row r="2192" customFormat="false" ht="13.35" hidden="false" customHeight="true" outlineLevel="0" collapsed="false">
      <c r="A2192" s="2" t="str">
        <f aca="false">HYPERLINK("https://www.fabsurplus.com/sdi_catalog/salesItemDetails.do?id=87871")</f>
        <v>https://www.fabsurplus.com/sdi_catalog/salesItemDetails.do?id=87871</v>
      </c>
      <c r="B2192" s="2" t="s">
        <v>5945</v>
      </c>
      <c r="C2192" s="2" t="s">
        <v>5881</v>
      </c>
      <c r="D2192" s="2" t="s">
        <v>5929</v>
      </c>
      <c r="E2192" s="2" t="s">
        <v>5883</v>
      </c>
      <c r="F2192" s="2" t="s">
        <v>16</v>
      </c>
      <c r="G2192" s="2" t="s">
        <v>160</v>
      </c>
      <c r="H2192" s="2"/>
      <c r="I2192" s="3" t="n">
        <v>38869</v>
      </c>
      <c r="J2192" s="2" t="s">
        <v>19</v>
      </c>
      <c r="K2192" s="2"/>
      <c r="L2192" s="2" t="s">
        <v>830</v>
      </c>
    </row>
    <row r="2193" customFormat="false" ht="13.35" hidden="false" customHeight="true" outlineLevel="0" collapsed="false">
      <c r="A2193" s="5" t="str">
        <f aca="false">HYPERLINK("https://www.fabsurplus.com/sdi_catalog/salesItemDetails.do?id=87872")</f>
        <v>https://www.fabsurplus.com/sdi_catalog/salesItemDetails.do?id=87872</v>
      </c>
      <c r="B2193" s="5" t="s">
        <v>5946</v>
      </c>
      <c r="C2193" s="5" t="s">
        <v>5881</v>
      </c>
      <c r="D2193" s="5" t="s">
        <v>5929</v>
      </c>
      <c r="E2193" s="5" t="s">
        <v>5883</v>
      </c>
      <c r="F2193" s="5" t="s">
        <v>16</v>
      </c>
      <c r="G2193" s="5" t="s">
        <v>160</v>
      </c>
      <c r="H2193" s="5"/>
      <c r="I2193" s="6" t="n">
        <v>38869</v>
      </c>
      <c r="J2193" s="5" t="s">
        <v>19</v>
      </c>
      <c r="K2193" s="5"/>
      <c r="L2193" s="5" t="s">
        <v>830</v>
      </c>
    </row>
    <row r="2194" customFormat="false" ht="13.35" hidden="false" customHeight="true" outlineLevel="0" collapsed="false">
      <c r="A2194" s="2" t="str">
        <f aca="false">HYPERLINK("https://www.fabsurplus.com/sdi_catalog/salesItemDetails.do?id=87873")</f>
        <v>https://www.fabsurplus.com/sdi_catalog/salesItemDetails.do?id=87873</v>
      </c>
      <c r="B2194" s="2" t="s">
        <v>5947</v>
      </c>
      <c r="C2194" s="2" t="s">
        <v>5881</v>
      </c>
      <c r="D2194" s="2" t="s">
        <v>5929</v>
      </c>
      <c r="E2194" s="2" t="s">
        <v>5883</v>
      </c>
      <c r="F2194" s="2" t="s">
        <v>16</v>
      </c>
      <c r="G2194" s="2" t="s">
        <v>160</v>
      </c>
      <c r="H2194" s="2"/>
      <c r="I2194" s="3" t="n">
        <v>38869</v>
      </c>
      <c r="J2194" s="2" t="s">
        <v>19</v>
      </c>
      <c r="K2194" s="2"/>
      <c r="L2194" s="2" t="s">
        <v>830</v>
      </c>
    </row>
    <row r="2195" customFormat="false" ht="13.35" hidden="false" customHeight="true" outlineLevel="0" collapsed="false">
      <c r="A2195" s="5" t="str">
        <f aca="false">HYPERLINK("https://www.fabsurplus.com/sdi_catalog/salesItemDetails.do?id=87874")</f>
        <v>https://www.fabsurplus.com/sdi_catalog/salesItemDetails.do?id=87874</v>
      </c>
      <c r="B2195" s="5" t="s">
        <v>5948</v>
      </c>
      <c r="C2195" s="5" t="s">
        <v>5881</v>
      </c>
      <c r="D2195" s="5" t="s">
        <v>5929</v>
      </c>
      <c r="E2195" s="5" t="s">
        <v>5883</v>
      </c>
      <c r="F2195" s="5" t="s">
        <v>16</v>
      </c>
      <c r="G2195" s="5" t="s">
        <v>160</v>
      </c>
      <c r="H2195" s="5"/>
      <c r="I2195" s="6" t="n">
        <v>38504</v>
      </c>
      <c r="J2195" s="5" t="s">
        <v>19</v>
      </c>
      <c r="K2195" s="5"/>
      <c r="L2195" s="5" t="s">
        <v>830</v>
      </c>
    </row>
    <row r="2196" customFormat="false" ht="13.35" hidden="false" customHeight="true" outlineLevel="0" collapsed="false">
      <c r="A2196" s="2" t="str">
        <f aca="false">HYPERLINK("https://www.fabsurplus.com/sdi_catalog/salesItemDetails.do?id=87875")</f>
        <v>https://www.fabsurplus.com/sdi_catalog/salesItemDetails.do?id=87875</v>
      </c>
      <c r="B2196" s="2" t="s">
        <v>5949</v>
      </c>
      <c r="C2196" s="2" t="s">
        <v>5881</v>
      </c>
      <c r="D2196" s="2" t="s">
        <v>5929</v>
      </c>
      <c r="E2196" s="2" t="s">
        <v>5883</v>
      </c>
      <c r="F2196" s="2" t="s">
        <v>16</v>
      </c>
      <c r="G2196" s="2" t="s">
        <v>160</v>
      </c>
      <c r="H2196" s="2"/>
      <c r="I2196" s="3" t="n">
        <v>38504</v>
      </c>
      <c r="J2196" s="2" t="s">
        <v>19</v>
      </c>
      <c r="K2196" s="2"/>
      <c r="L2196" s="2" t="s">
        <v>830</v>
      </c>
    </row>
    <row r="2197" customFormat="false" ht="13.35" hidden="false" customHeight="true" outlineLevel="0" collapsed="false">
      <c r="A2197" s="5" t="str">
        <f aca="false">HYPERLINK("https://www.fabsurplus.com/sdi_catalog/salesItemDetails.do?id=87876")</f>
        <v>https://www.fabsurplus.com/sdi_catalog/salesItemDetails.do?id=87876</v>
      </c>
      <c r="B2197" s="5" t="s">
        <v>5950</v>
      </c>
      <c r="C2197" s="5" t="s">
        <v>5881</v>
      </c>
      <c r="D2197" s="5" t="s">
        <v>5929</v>
      </c>
      <c r="E2197" s="5" t="s">
        <v>5883</v>
      </c>
      <c r="F2197" s="5" t="s">
        <v>16</v>
      </c>
      <c r="G2197" s="5" t="s">
        <v>160</v>
      </c>
      <c r="H2197" s="5"/>
      <c r="I2197" s="6" t="n">
        <v>38504</v>
      </c>
      <c r="J2197" s="5" t="s">
        <v>19</v>
      </c>
      <c r="K2197" s="5"/>
      <c r="L2197" s="5" t="s">
        <v>830</v>
      </c>
    </row>
    <row r="2198" customFormat="false" ht="13.35" hidden="false" customHeight="true" outlineLevel="0" collapsed="false">
      <c r="A2198" s="5" t="str">
        <f aca="false">HYPERLINK("https://www.fabsurplus.com/sdi_catalog/salesItemDetails.do?id=87877")</f>
        <v>https://www.fabsurplus.com/sdi_catalog/salesItemDetails.do?id=87877</v>
      </c>
      <c r="B2198" s="5" t="s">
        <v>5951</v>
      </c>
      <c r="C2198" s="5" t="s">
        <v>5881</v>
      </c>
      <c r="D2198" s="5" t="s">
        <v>5929</v>
      </c>
      <c r="E2198" s="5" t="s">
        <v>5883</v>
      </c>
      <c r="F2198" s="5" t="s">
        <v>16</v>
      </c>
      <c r="G2198" s="5" t="s">
        <v>160</v>
      </c>
      <c r="H2198" s="5"/>
      <c r="I2198" s="6" t="n">
        <v>38504</v>
      </c>
      <c r="J2198" s="5" t="s">
        <v>19</v>
      </c>
      <c r="K2198" s="5"/>
      <c r="L2198" s="5" t="s">
        <v>830</v>
      </c>
    </row>
    <row r="2199" customFormat="false" ht="13.35" hidden="false" customHeight="true" outlineLevel="0" collapsed="false">
      <c r="A2199" s="2" t="str">
        <f aca="false">HYPERLINK("https://www.fabsurplus.com/sdi_catalog/salesItemDetails.do?id=87878")</f>
        <v>https://www.fabsurplus.com/sdi_catalog/salesItemDetails.do?id=87878</v>
      </c>
      <c r="B2199" s="2" t="s">
        <v>5952</v>
      </c>
      <c r="C2199" s="2" t="s">
        <v>5881</v>
      </c>
      <c r="D2199" s="2" t="s">
        <v>5929</v>
      </c>
      <c r="E2199" s="2" t="s">
        <v>5883</v>
      </c>
      <c r="F2199" s="2" t="s">
        <v>16</v>
      </c>
      <c r="G2199" s="2" t="s">
        <v>160</v>
      </c>
      <c r="H2199" s="2"/>
      <c r="I2199" s="3" t="n">
        <v>38504</v>
      </c>
      <c r="J2199" s="2" t="s">
        <v>19</v>
      </c>
      <c r="K2199" s="2"/>
      <c r="L2199" s="2" t="s">
        <v>830</v>
      </c>
    </row>
    <row r="2200" customFormat="false" ht="13.35" hidden="false" customHeight="true" outlineLevel="0" collapsed="false">
      <c r="A2200" s="5" t="str">
        <f aca="false">HYPERLINK("https://www.fabsurplus.com/sdi_catalog/salesItemDetails.do?id=87879")</f>
        <v>https://www.fabsurplus.com/sdi_catalog/salesItemDetails.do?id=87879</v>
      </c>
      <c r="B2200" s="5" t="s">
        <v>5953</v>
      </c>
      <c r="C2200" s="5" t="s">
        <v>5881</v>
      </c>
      <c r="D2200" s="5" t="s">
        <v>5929</v>
      </c>
      <c r="E2200" s="5" t="s">
        <v>5883</v>
      </c>
      <c r="F2200" s="5" t="s">
        <v>16</v>
      </c>
      <c r="G2200" s="5" t="s">
        <v>160</v>
      </c>
      <c r="H2200" s="5"/>
      <c r="I2200" s="6" t="n">
        <v>39234</v>
      </c>
      <c r="J2200" s="5" t="s">
        <v>19</v>
      </c>
      <c r="K2200" s="5"/>
      <c r="L2200" s="5" t="s">
        <v>830</v>
      </c>
    </row>
    <row r="2201" customFormat="false" ht="13.35" hidden="false" customHeight="true" outlineLevel="0" collapsed="false">
      <c r="A2201" s="2" t="str">
        <f aca="false">HYPERLINK("https://www.fabsurplus.com/sdi_catalog/salesItemDetails.do?id=87880")</f>
        <v>https://www.fabsurplus.com/sdi_catalog/salesItemDetails.do?id=87880</v>
      </c>
      <c r="B2201" s="2" t="s">
        <v>5954</v>
      </c>
      <c r="C2201" s="2" t="s">
        <v>5881</v>
      </c>
      <c r="D2201" s="2" t="s">
        <v>5955</v>
      </c>
      <c r="E2201" s="2" t="s">
        <v>5883</v>
      </c>
      <c r="F2201" s="2" t="s">
        <v>16</v>
      </c>
      <c r="G2201" s="2" t="s">
        <v>160</v>
      </c>
      <c r="H2201" s="2"/>
      <c r="I2201" s="3" t="n">
        <v>39600</v>
      </c>
      <c r="J2201" s="2" t="s">
        <v>19</v>
      </c>
      <c r="K2201" s="2"/>
      <c r="L2201" s="2" t="s">
        <v>830</v>
      </c>
    </row>
    <row r="2202" customFormat="false" ht="13.35" hidden="false" customHeight="true" outlineLevel="0" collapsed="false">
      <c r="A2202" s="5" t="str">
        <f aca="false">HYPERLINK("https://www.fabsurplus.com/sdi_catalog/salesItemDetails.do?id=87881")</f>
        <v>https://www.fabsurplus.com/sdi_catalog/salesItemDetails.do?id=87881</v>
      </c>
      <c r="B2202" s="5" t="s">
        <v>5956</v>
      </c>
      <c r="C2202" s="5" t="s">
        <v>5881</v>
      </c>
      <c r="D2202" s="5" t="s">
        <v>5955</v>
      </c>
      <c r="E2202" s="5" t="s">
        <v>5883</v>
      </c>
      <c r="F2202" s="5" t="s">
        <v>16</v>
      </c>
      <c r="G2202" s="5" t="s">
        <v>160</v>
      </c>
      <c r="H2202" s="5"/>
      <c r="I2202" s="6" t="n">
        <v>39600</v>
      </c>
      <c r="J2202" s="5" t="s">
        <v>19</v>
      </c>
      <c r="K2202" s="5"/>
      <c r="L2202" s="5" t="s">
        <v>830</v>
      </c>
    </row>
    <row r="2203" customFormat="false" ht="13.35" hidden="false" customHeight="true" outlineLevel="0" collapsed="false">
      <c r="A2203" s="2" t="str">
        <f aca="false">HYPERLINK("https://www.fabsurplus.com/sdi_catalog/salesItemDetails.do?id=87882")</f>
        <v>https://www.fabsurplus.com/sdi_catalog/salesItemDetails.do?id=87882</v>
      </c>
      <c r="B2203" s="2" t="s">
        <v>5957</v>
      </c>
      <c r="C2203" s="2" t="s">
        <v>5881</v>
      </c>
      <c r="D2203" s="2" t="s">
        <v>5955</v>
      </c>
      <c r="E2203" s="2" t="s">
        <v>5883</v>
      </c>
      <c r="F2203" s="2" t="s">
        <v>16</v>
      </c>
      <c r="G2203" s="2" t="s">
        <v>160</v>
      </c>
      <c r="H2203" s="2"/>
      <c r="I2203" s="3" t="n">
        <v>39600</v>
      </c>
      <c r="J2203" s="2" t="s">
        <v>19</v>
      </c>
      <c r="K2203" s="2"/>
      <c r="L2203" s="2" t="s">
        <v>830</v>
      </c>
    </row>
    <row r="2204" customFormat="false" ht="13.35" hidden="false" customHeight="true" outlineLevel="0" collapsed="false">
      <c r="A2204" s="5" t="str">
        <f aca="false">HYPERLINK("https://www.fabsurplus.com/sdi_catalog/salesItemDetails.do?id=87883")</f>
        <v>https://www.fabsurplus.com/sdi_catalog/salesItemDetails.do?id=87883</v>
      </c>
      <c r="B2204" s="5" t="s">
        <v>5958</v>
      </c>
      <c r="C2204" s="5" t="s">
        <v>5881</v>
      </c>
      <c r="D2204" s="5" t="s">
        <v>5955</v>
      </c>
      <c r="E2204" s="5" t="s">
        <v>5883</v>
      </c>
      <c r="F2204" s="5" t="s">
        <v>16</v>
      </c>
      <c r="G2204" s="5" t="s">
        <v>160</v>
      </c>
      <c r="H2204" s="5"/>
      <c r="I2204" s="6" t="n">
        <v>39600</v>
      </c>
      <c r="J2204" s="5" t="s">
        <v>19</v>
      </c>
      <c r="K2204" s="5"/>
      <c r="L2204" s="5" t="s">
        <v>830</v>
      </c>
    </row>
    <row r="2205" customFormat="false" ht="13.35" hidden="false" customHeight="true" outlineLevel="0" collapsed="false">
      <c r="A2205" s="2" t="str">
        <f aca="false">HYPERLINK("https://www.fabsurplus.com/sdi_catalog/salesItemDetails.do?id=87884")</f>
        <v>https://www.fabsurplus.com/sdi_catalog/salesItemDetails.do?id=87884</v>
      </c>
      <c r="B2205" s="2" t="s">
        <v>5959</v>
      </c>
      <c r="C2205" s="2" t="s">
        <v>5881</v>
      </c>
      <c r="D2205" s="2" t="s">
        <v>5955</v>
      </c>
      <c r="E2205" s="2" t="s">
        <v>5883</v>
      </c>
      <c r="F2205" s="2" t="s">
        <v>16</v>
      </c>
      <c r="G2205" s="2" t="s">
        <v>160</v>
      </c>
      <c r="H2205" s="2"/>
      <c r="I2205" s="3" t="n">
        <v>39600</v>
      </c>
      <c r="J2205" s="2" t="s">
        <v>19</v>
      </c>
      <c r="K2205" s="2"/>
      <c r="L2205" s="2" t="s">
        <v>830</v>
      </c>
    </row>
    <row r="2206" customFormat="false" ht="13.35" hidden="false" customHeight="true" outlineLevel="0" collapsed="false">
      <c r="A2206" s="2" t="str">
        <f aca="false">HYPERLINK("https://www.fabsurplus.com/sdi_catalog/salesItemDetails.do?id=87885")</f>
        <v>https://www.fabsurplus.com/sdi_catalog/salesItemDetails.do?id=87885</v>
      </c>
      <c r="B2206" s="2" t="s">
        <v>5960</v>
      </c>
      <c r="C2206" s="2" t="s">
        <v>5881</v>
      </c>
      <c r="D2206" s="2" t="s">
        <v>5955</v>
      </c>
      <c r="E2206" s="2" t="s">
        <v>5883</v>
      </c>
      <c r="F2206" s="2" t="s">
        <v>16</v>
      </c>
      <c r="G2206" s="2" t="s">
        <v>160</v>
      </c>
      <c r="H2206" s="2"/>
      <c r="I2206" s="3" t="n">
        <v>39600</v>
      </c>
      <c r="J2206" s="2" t="s">
        <v>19</v>
      </c>
      <c r="K2206" s="2"/>
      <c r="L2206" s="2" t="s">
        <v>830</v>
      </c>
    </row>
    <row r="2207" customFormat="false" ht="13.35" hidden="false" customHeight="true" outlineLevel="0" collapsed="false">
      <c r="A2207" s="5" t="str">
        <f aca="false">HYPERLINK("https://www.fabsurplus.com/sdi_catalog/salesItemDetails.do?id=87886")</f>
        <v>https://www.fabsurplus.com/sdi_catalog/salesItemDetails.do?id=87886</v>
      </c>
      <c r="B2207" s="5" t="s">
        <v>5961</v>
      </c>
      <c r="C2207" s="5" t="s">
        <v>5881</v>
      </c>
      <c r="D2207" s="5" t="s">
        <v>5955</v>
      </c>
      <c r="E2207" s="5" t="s">
        <v>5883</v>
      </c>
      <c r="F2207" s="5" t="s">
        <v>16</v>
      </c>
      <c r="G2207" s="5" t="s">
        <v>160</v>
      </c>
      <c r="H2207" s="5"/>
      <c r="I2207" s="6" t="n">
        <v>39600</v>
      </c>
      <c r="J2207" s="5" t="s">
        <v>19</v>
      </c>
      <c r="K2207" s="5"/>
      <c r="L2207" s="5" t="s">
        <v>830</v>
      </c>
    </row>
    <row r="2208" customFormat="false" ht="13.35" hidden="false" customHeight="true" outlineLevel="0" collapsed="false">
      <c r="A2208" s="5" t="str">
        <f aca="false">HYPERLINK("https://www.fabsurplus.com/sdi_catalog/salesItemDetails.do?id=87887")</f>
        <v>https://www.fabsurplus.com/sdi_catalog/salesItemDetails.do?id=87887</v>
      </c>
      <c r="B2208" s="5" t="s">
        <v>5962</v>
      </c>
      <c r="C2208" s="5" t="s">
        <v>5881</v>
      </c>
      <c r="D2208" s="5" t="s">
        <v>5955</v>
      </c>
      <c r="E2208" s="5" t="s">
        <v>5883</v>
      </c>
      <c r="F2208" s="5" t="s">
        <v>16</v>
      </c>
      <c r="G2208" s="5" t="s">
        <v>160</v>
      </c>
      <c r="H2208" s="5"/>
      <c r="I2208" s="6" t="n">
        <v>39600</v>
      </c>
      <c r="J2208" s="5" t="s">
        <v>19</v>
      </c>
      <c r="K2208" s="5"/>
      <c r="L2208" s="5" t="s">
        <v>830</v>
      </c>
    </row>
    <row r="2209" customFormat="false" ht="13.35" hidden="false" customHeight="true" outlineLevel="0" collapsed="false">
      <c r="A2209" s="2" t="str">
        <f aca="false">HYPERLINK("https://www.fabsurplus.com/sdi_catalog/salesItemDetails.do?id=87889")</f>
        <v>https://www.fabsurplus.com/sdi_catalog/salesItemDetails.do?id=87889</v>
      </c>
      <c r="B2209" s="2" t="s">
        <v>5963</v>
      </c>
      <c r="C2209" s="2" t="s">
        <v>5881</v>
      </c>
      <c r="D2209" s="2" t="s">
        <v>5955</v>
      </c>
      <c r="E2209" s="2" t="s">
        <v>5883</v>
      </c>
      <c r="F2209" s="2" t="s">
        <v>16</v>
      </c>
      <c r="G2209" s="2" t="s">
        <v>160</v>
      </c>
      <c r="H2209" s="2"/>
      <c r="I2209" s="3" t="n">
        <v>39600</v>
      </c>
      <c r="J2209" s="2" t="s">
        <v>19</v>
      </c>
      <c r="K2209" s="2"/>
      <c r="L2209" s="2" t="s">
        <v>830</v>
      </c>
    </row>
    <row r="2210" customFormat="false" ht="13.35" hidden="false" customHeight="true" outlineLevel="0" collapsed="false">
      <c r="A2210" s="5" t="str">
        <f aca="false">HYPERLINK("https://www.fabsurplus.com/sdi_catalog/salesItemDetails.do?id=87894")</f>
        <v>https://www.fabsurplus.com/sdi_catalog/salesItemDetails.do?id=87894</v>
      </c>
      <c r="B2210" s="5" t="s">
        <v>5964</v>
      </c>
      <c r="C2210" s="5" t="s">
        <v>5881</v>
      </c>
      <c r="D2210" s="5" t="s">
        <v>5965</v>
      </c>
      <c r="E2210" s="5" t="s">
        <v>5883</v>
      </c>
      <c r="F2210" s="5" t="s">
        <v>16</v>
      </c>
      <c r="G2210" s="5" t="s">
        <v>160</v>
      </c>
      <c r="H2210" s="5"/>
      <c r="I2210" s="6" t="n">
        <v>41061</v>
      </c>
      <c r="J2210" s="5" t="s">
        <v>19</v>
      </c>
      <c r="K2210" s="5"/>
      <c r="L2210" s="7" t="s">
        <v>5966</v>
      </c>
    </row>
    <row r="2211" customFormat="false" ht="13.35" hidden="false" customHeight="true" outlineLevel="0" collapsed="false">
      <c r="A2211" s="2" t="str">
        <f aca="false">HYPERLINK("https://www.fabsurplus.com/sdi_catalog/salesItemDetails.do?id=101674")</f>
        <v>https://www.fabsurplus.com/sdi_catalog/salesItemDetails.do?id=101674</v>
      </c>
      <c r="B2211" s="2" t="s">
        <v>5967</v>
      </c>
      <c r="C2211" s="2" t="s">
        <v>5968</v>
      </c>
      <c r="D2211" s="2" t="s">
        <v>5969</v>
      </c>
      <c r="E2211" s="2" t="s">
        <v>5970</v>
      </c>
      <c r="F2211" s="2" t="s">
        <v>16</v>
      </c>
      <c r="G2211" s="2" t="s">
        <v>154</v>
      </c>
      <c r="H2211" s="2"/>
      <c r="I2211" s="2"/>
      <c r="J2211" s="2" t="s">
        <v>19</v>
      </c>
      <c r="K2211" s="2"/>
      <c r="L2211" s="2"/>
    </row>
    <row r="2212" customFormat="false" ht="13.35" hidden="false" customHeight="true" outlineLevel="0" collapsed="false">
      <c r="A2212" s="2" t="str">
        <f aca="false">HYPERLINK("https://www.fabsurplus.com/sdi_catalog/salesItemDetails.do?id=97877")</f>
        <v>https://www.fabsurplus.com/sdi_catalog/salesItemDetails.do?id=97877</v>
      </c>
      <c r="B2212" s="2" t="s">
        <v>5971</v>
      </c>
      <c r="C2212" s="2" t="s">
        <v>5972</v>
      </c>
      <c r="D2212" s="2" t="s">
        <v>5973</v>
      </c>
      <c r="E2212" s="2" t="s">
        <v>5974</v>
      </c>
      <c r="F2212" s="2" t="s">
        <v>16</v>
      </c>
      <c r="G2212" s="2"/>
      <c r="H2212" s="2"/>
      <c r="I2212" s="3" t="n">
        <v>38869</v>
      </c>
      <c r="J2212" s="2" t="s">
        <v>19</v>
      </c>
      <c r="K2212" s="2"/>
      <c r="L2212" s="2"/>
    </row>
    <row r="2213" customFormat="false" ht="13.35" hidden="false" customHeight="true" outlineLevel="0" collapsed="false">
      <c r="A2213" s="5" t="str">
        <f aca="false">HYPERLINK("https://www.fabsurplus.com/sdi_catalog/salesItemDetails.do?id=101632")</f>
        <v>https://www.fabsurplus.com/sdi_catalog/salesItemDetails.do?id=101632</v>
      </c>
      <c r="B2213" s="5" t="s">
        <v>5975</v>
      </c>
      <c r="C2213" s="5" t="s">
        <v>5976</v>
      </c>
      <c r="D2213" s="5" t="s">
        <v>5977</v>
      </c>
      <c r="E2213" s="5" t="s">
        <v>5978</v>
      </c>
      <c r="F2213" s="5" t="s">
        <v>16</v>
      </c>
      <c r="G2213" s="5" t="s">
        <v>5379</v>
      </c>
      <c r="H2213" s="5"/>
      <c r="I2213" s="5"/>
      <c r="J2213" s="5" t="s">
        <v>19</v>
      </c>
      <c r="K2213" s="5"/>
      <c r="L2213" s="5"/>
    </row>
    <row r="2214" customFormat="false" ht="13.35" hidden="false" customHeight="true" outlineLevel="0" collapsed="false">
      <c r="A2214" s="5" t="str">
        <f aca="false">HYPERLINK("https://www.fabsurplus.com/sdi_catalog/salesItemDetails.do?id=103043")</f>
        <v>https://www.fabsurplus.com/sdi_catalog/salesItemDetails.do?id=103043</v>
      </c>
      <c r="B2214" s="5" t="s">
        <v>5979</v>
      </c>
      <c r="C2214" s="5" t="s">
        <v>5980</v>
      </c>
      <c r="D2214" s="5" t="s">
        <v>5981</v>
      </c>
      <c r="E2214" s="5" t="s">
        <v>5982</v>
      </c>
      <c r="F2214" s="5" t="s">
        <v>16</v>
      </c>
      <c r="G2214" s="5" t="s">
        <v>36</v>
      </c>
      <c r="H2214" s="5"/>
      <c r="I2214" s="5"/>
      <c r="J2214" s="5" t="s">
        <v>19</v>
      </c>
      <c r="K2214" s="5"/>
      <c r="L2214" s="7" t="s">
        <v>5983</v>
      </c>
    </row>
    <row r="2215" customFormat="false" ht="13.35" hidden="false" customHeight="true" outlineLevel="0" collapsed="false">
      <c r="A2215" s="5" t="str">
        <f aca="false">HYPERLINK("https://www.fabsurplus.com/sdi_catalog/salesItemDetails.do?id=102769")</f>
        <v>https://www.fabsurplus.com/sdi_catalog/salesItemDetails.do?id=102769</v>
      </c>
      <c r="B2215" s="5" t="s">
        <v>5984</v>
      </c>
      <c r="C2215" s="5" t="s">
        <v>5985</v>
      </c>
      <c r="D2215" s="5" t="s">
        <v>5986</v>
      </c>
      <c r="E2215" s="5" t="s">
        <v>5987</v>
      </c>
      <c r="F2215" s="5" t="s">
        <v>16</v>
      </c>
      <c r="G2215" s="5" t="s">
        <v>25</v>
      </c>
      <c r="H2215" s="5"/>
      <c r="I2215" s="6" t="n">
        <v>42156</v>
      </c>
      <c r="J2215" s="5" t="s">
        <v>19</v>
      </c>
      <c r="K2215" s="5"/>
      <c r="L2215" s="7" t="s">
        <v>5988</v>
      </c>
    </row>
    <row r="2216" customFormat="false" ht="13.35" hidden="false" customHeight="true" outlineLevel="0" collapsed="false">
      <c r="A2216" s="2" t="str">
        <f aca="false">HYPERLINK("https://www.fabsurplus.com/sdi_catalog/salesItemDetails.do?id=102770")</f>
        <v>https://www.fabsurplus.com/sdi_catalog/salesItemDetails.do?id=102770</v>
      </c>
      <c r="B2216" s="2" t="s">
        <v>5989</v>
      </c>
      <c r="C2216" s="2" t="s">
        <v>5985</v>
      </c>
      <c r="D2216" s="2" t="s">
        <v>5986</v>
      </c>
      <c r="E2216" s="2" t="s">
        <v>5987</v>
      </c>
      <c r="F2216" s="2" t="s">
        <v>16</v>
      </c>
      <c r="G2216" s="2" t="s">
        <v>25</v>
      </c>
      <c r="H2216" s="2"/>
      <c r="I2216" s="3" t="n">
        <v>42156</v>
      </c>
      <c r="J2216" s="2" t="s">
        <v>19</v>
      </c>
      <c r="K2216" s="2"/>
      <c r="L2216" s="4" t="s">
        <v>5990</v>
      </c>
    </row>
    <row r="2217" customFormat="false" ht="13.35" hidden="false" customHeight="true" outlineLevel="0" collapsed="false">
      <c r="A2217" s="5" t="str">
        <f aca="false">HYPERLINK("https://www.fabsurplus.com/sdi_catalog/salesItemDetails.do?id=102771")</f>
        <v>https://www.fabsurplus.com/sdi_catalog/salesItemDetails.do?id=102771</v>
      </c>
      <c r="B2217" s="5" t="s">
        <v>5991</v>
      </c>
      <c r="C2217" s="5" t="s">
        <v>5985</v>
      </c>
      <c r="D2217" s="5" t="s">
        <v>5986</v>
      </c>
      <c r="E2217" s="5" t="s">
        <v>5987</v>
      </c>
      <c r="F2217" s="5" t="s">
        <v>16</v>
      </c>
      <c r="G2217" s="5" t="s">
        <v>25</v>
      </c>
      <c r="H2217" s="5"/>
      <c r="I2217" s="6" t="n">
        <v>42156</v>
      </c>
      <c r="J2217" s="5" t="s">
        <v>19</v>
      </c>
      <c r="K2217" s="5"/>
      <c r="L2217" s="7" t="s">
        <v>5992</v>
      </c>
    </row>
    <row r="2218" customFormat="false" ht="13.35" hidden="false" customHeight="true" outlineLevel="0" collapsed="false">
      <c r="A2218" s="2" t="str">
        <f aca="false">HYPERLINK("https://www.fabsurplus.com/sdi_catalog/salesItemDetails.do?id=102772")</f>
        <v>https://www.fabsurplus.com/sdi_catalog/salesItemDetails.do?id=102772</v>
      </c>
      <c r="B2218" s="2" t="s">
        <v>5993</v>
      </c>
      <c r="C2218" s="2" t="s">
        <v>5985</v>
      </c>
      <c r="D2218" s="2" t="s">
        <v>5986</v>
      </c>
      <c r="E2218" s="2" t="s">
        <v>5987</v>
      </c>
      <c r="F2218" s="2" t="s">
        <v>16</v>
      </c>
      <c r="G2218" s="2" t="s">
        <v>25</v>
      </c>
      <c r="H2218" s="2"/>
      <c r="I2218" s="3" t="n">
        <v>42522</v>
      </c>
      <c r="J2218" s="2" t="s">
        <v>19</v>
      </c>
      <c r="K2218" s="2"/>
      <c r="L2218" s="4" t="s">
        <v>5994</v>
      </c>
    </row>
    <row r="2219" customFormat="false" ht="13.35" hidden="false" customHeight="true" outlineLevel="0" collapsed="false">
      <c r="A2219" s="5" t="str">
        <f aca="false">HYPERLINK("https://www.fabsurplus.com/sdi_catalog/salesItemDetails.do?id=102773")</f>
        <v>https://www.fabsurplus.com/sdi_catalog/salesItemDetails.do?id=102773</v>
      </c>
      <c r="B2219" s="5" t="s">
        <v>5995</v>
      </c>
      <c r="C2219" s="5" t="s">
        <v>5985</v>
      </c>
      <c r="D2219" s="5" t="s">
        <v>5986</v>
      </c>
      <c r="E2219" s="5" t="s">
        <v>5987</v>
      </c>
      <c r="F2219" s="5" t="s">
        <v>16</v>
      </c>
      <c r="G2219" s="5" t="s">
        <v>25</v>
      </c>
      <c r="H2219" s="5"/>
      <c r="I2219" s="5"/>
      <c r="J2219" s="5" t="s">
        <v>19</v>
      </c>
      <c r="K2219" s="5"/>
      <c r="L2219" s="7" t="s">
        <v>5996</v>
      </c>
    </row>
    <row r="2220" customFormat="false" ht="13.35" hidden="false" customHeight="true" outlineLevel="0" collapsed="false">
      <c r="A2220" s="2" t="str">
        <f aca="false">HYPERLINK("https://www.fabsurplus.com/sdi_catalog/salesItemDetails.do?id=102774")</f>
        <v>https://www.fabsurplus.com/sdi_catalog/salesItemDetails.do?id=102774</v>
      </c>
      <c r="B2220" s="2" t="s">
        <v>5997</v>
      </c>
      <c r="C2220" s="2" t="s">
        <v>5985</v>
      </c>
      <c r="D2220" s="2" t="s">
        <v>5986</v>
      </c>
      <c r="E2220" s="2" t="s">
        <v>5987</v>
      </c>
      <c r="F2220" s="2" t="s">
        <v>16</v>
      </c>
      <c r="G2220" s="2" t="s">
        <v>25</v>
      </c>
      <c r="H2220" s="2"/>
      <c r="I2220" s="2"/>
      <c r="J2220" s="2" t="s">
        <v>19</v>
      </c>
      <c r="K2220" s="2"/>
      <c r="L2220" s="4" t="s">
        <v>5998</v>
      </c>
    </row>
    <row r="2221" customFormat="false" ht="13.35" hidden="false" customHeight="true" outlineLevel="0" collapsed="false">
      <c r="A2221" s="5" t="str">
        <f aca="false">HYPERLINK("https://www.fabsurplus.com/sdi_catalog/salesItemDetails.do?id=102775")</f>
        <v>https://www.fabsurplus.com/sdi_catalog/salesItemDetails.do?id=102775</v>
      </c>
      <c r="B2221" s="5" t="s">
        <v>5999</v>
      </c>
      <c r="C2221" s="5" t="s">
        <v>5985</v>
      </c>
      <c r="D2221" s="5" t="s">
        <v>5986</v>
      </c>
      <c r="E2221" s="5" t="s">
        <v>5987</v>
      </c>
      <c r="F2221" s="5" t="s">
        <v>16</v>
      </c>
      <c r="G2221" s="5" t="s">
        <v>25</v>
      </c>
      <c r="H2221" s="5"/>
      <c r="I2221" s="5"/>
      <c r="J2221" s="5" t="s">
        <v>19</v>
      </c>
      <c r="K2221" s="5"/>
      <c r="L2221" s="7" t="s">
        <v>6000</v>
      </c>
    </row>
    <row r="2222" customFormat="false" ht="13.35" hidden="false" customHeight="true" outlineLevel="0" collapsed="false">
      <c r="A2222" s="2" t="str">
        <f aca="false">HYPERLINK("https://www.fabsurplus.com/sdi_catalog/salesItemDetails.do?id=102776")</f>
        <v>https://www.fabsurplus.com/sdi_catalog/salesItemDetails.do?id=102776</v>
      </c>
      <c r="B2222" s="2" t="s">
        <v>6001</v>
      </c>
      <c r="C2222" s="2" t="s">
        <v>5985</v>
      </c>
      <c r="D2222" s="2" t="s">
        <v>5986</v>
      </c>
      <c r="E2222" s="2" t="s">
        <v>5987</v>
      </c>
      <c r="F2222" s="2" t="s">
        <v>16</v>
      </c>
      <c r="G2222" s="2" t="s">
        <v>25</v>
      </c>
      <c r="H2222" s="2"/>
      <c r="I2222" s="2"/>
      <c r="J2222" s="2" t="s">
        <v>19</v>
      </c>
      <c r="K2222" s="2"/>
      <c r="L2222" s="4" t="s">
        <v>6002</v>
      </c>
    </row>
    <row r="2223" customFormat="false" ht="13.35" hidden="false" customHeight="true" outlineLevel="0" collapsed="false">
      <c r="A2223" s="5" t="str">
        <f aca="false">HYPERLINK("https://www.fabsurplus.com/sdi_catalog/salesItemDetails.do?id=102777")</f>
        <v>https://www.fabsurplus.com/sdi_catalog/salesItemDetails.do?id=102777</v>
      </c>
      <c r="B2223" s="5" t="s">
        <v>6003</v>
      </c>
      <c r="C2223" s="5" t="s">
        <v>5985</v>
      </c>
      <c r="D2223" s="5" t="s">
        <v>5986</v>
      </c>
      <c r="E2223" s="5" t="s">
        <v>5987</v>
      </c>
      <c r="F2223" s="5" t="s">
        <v>16</v>
      </c>
      <c r="G2223" s="5" t="s">
        <v>25</v>
      </c>
      <c r="H2223" s="5"/>
      <c r="I2223" s="5"/>
      <c r="J2223" s="5" t="s">
        <v>19</v>
      </c>
      <c r="K2223" s="5"/>
      <c r="L2223" s="7" t="s">
        <v>6004</v>
      </c>
    </row>
    <row r="2224" customFormat="false" ht="13.35" hidden="false" customHeight="true" outlineLevel="0" collapsed="false">
      <c r="A2224" s="2" t="str">
        <f aca="false">HYPERLINK("https://www.fabsurplus.com/sdi_catalog/salesItemDetails.do?id=102778")</f>
        <v>https://www.fabsurplus.com/sdi_catalog/salesItemDetails.do?id=102778</v>
      </c>
      <c r="B2224" s="2" t="s">
        <v>6005</v>
      </c>
      <c r="C2224" s="2" t="s">
        <v>5985</v>
      </c>
      <c r="D2224" s="2" t="s">
        <v>6006</v>
      </c>
      <c r="E2224" s="2" t="s">
        <v>5987</v>
      </c>
      <c r="F2224" s="2" t="s">
        <v>16</v>
      </c>
      <c r="G2224" s="2" t="s">
        <v>25</v>
      </c>
      <c r="H2224" s="2"/>
      <c r="I2224" s="2"/>
      <c r="J2224" s="2" t="s">
        <v>19</v>
      </c>
      <c r="K2224" s="2"/>
      <c r="L2224" s="4" t="s">
        <v>6007</v>
      </c>
    </row>
    <row r="2225" customFormat="false" ht="13.35" hidden="false" customHeight="true" outlineLevel="0" collapsed="false">
      <c r="A2225" s="5" t="str">
        <f aca="false">HYPERLINK("https://www.fabsurplus.com/sdi_catalog/salesItemDetails.do?id=102779")</f>
        <v>https://www.fabsurplus.com/sdi_catalog/salesItemDetails.do?id=102779</v>
      </c>
      <c r="B2225" s="5" t="s">
        <v>6008</v>
      </c>
      <c r="C2225" s="5" t="s">
        <v>5985</v>
      </c>
      <c r="D2225" s="5" t="s">
        <v>6006</v>
      </c>
      <c r="E2225" s="5" t="s">
        <v>5987</v>
      </c>
      <c r="F2225" s="5" t="s">
        <v>16</v>
      </c>
      <c r="G2225" s="5" t="s">
        <v>25</v>
      </c>
      <c r="H2225" s="5"/>
      <c r="I2225" s="5"/>
      <c r="J2225" s="5" t="s">
        <v>19</v>
      </c>
      <c r="K2225" s="5"/>
      <c r="L2225" s="7" t="s">
        <v>6009</v>
      </c>
    </row>
    <row r="2226" customFormat="false" ht="13.35" hidden="false" customHeight="true" outlineLevel="0" collapsed="false">
      <c r="A2226" s="2" t="str">
        <f aca="false">HYPERLINK("https://www.fabsurplus.com/sdi_catalog/salesItemDetails.do?id=102780")</f>
        <v>https://www.fabsurplus.com/sdi_catalog/salesItemDetails.do?id=102780</v>
      </c>
      <c r="B2226" s="2" t="s">
        <v>6010</v>
      </c>
      <c r="C2226" s="2" t="s">
        <v>5985</v>
      </c>
      <c r="D2226" s="2" t="s">
        <v>6006</v>
      </c>
      <c r="E2226" s="2" t="s">
        <v>5987</v>
      </c>
      <c r="F2226" s="2" t="s">
        <v>16</v>
      </c>
      <c r="G2226" s="2" t="s">
        <v>25</v>
      </c>
      <c r="H2226" s="2"/>
      <c r="I2226" s="2"/>
      <c r="J2226" s="2" t="s">
        <v>19</v>
      </c>
      <c r="K2226" s="2"/>
      <c r="L2226" s="4" t="s">
        <v>6011</v>
      </c>
    </row>
    <row r="2227" customFormat="false" ht="13.35" hidden="false" customHeight="true" outlineLevel="0" collapsed="false">
      <c r="A2227" s="5" t="str">
        <f aca="false">HYPERLINK("https://www.fabsurplus.com/sdi_catalog/salesItemDetails.do?id=102781")</f>
        <v>https://www.fabsurplus.com/sdi_catalog/salesItemDetails.do?id=102781</v>
      </c>
      <c r="B2227" s="5" t="s">
        <v>6012</v>
      </c>
      <c r="C2227" s="5" t="s">
        <v>5985</v>
      </c>
      <c r="D2227" s="5" t="s">
        <v>6006</v>
      </c>
      <c r="E2227" s="5" t="s">
        <v>5987</v>
      </c>
      <c r="F2227" s="5" t="s">
        <v>16</v>
      </c>
      <c r="G2227" s="5" t="s">
        <v>25</v>
      </c>
      <c r="H2227" s="5"/>
      <c r="I2227" s="5"/>
      <c r="J2227" s="5" t="s">
        <v>19</v>
      </c>
      <c r="K2227" s="5"/>
      <c r="L2227" s="7" t="s">
        <v>6011</v>
      </c>
    </row>
    <row r="2228" customFormat="false" ht="13.35" hidden="false" customHeight="true" outlineLevel="0" collapsed="false">
      <c r="A2228" s="2" t="str">
        <f aca="false">HYPERLINK("https://www.fabsurplus.com/sdi_catalog/salesItemDetails.do?id=102782")</f>
        <v>https://www.fabsurplus.com/sdi_catalog/salesItemDetails.do?id=102782</v>
      </c>
      <c r="B2228" s="2" t="s">
        <v>6013</v>
      </c>
      <c r="C2228" s="2" t="s">
        <v>5985</v>
      </c>
      <c r="D2228" s="2" t="s">
        <v>6006</v>
      </c>
      <c r="E2228" s="2" t="s">
        <v>5987</v>
      </c>
      <c r="F2228" s="2" t="s">
        <v>16</v>
      </c>
      <c r="G2228" s="2" t="s">
        <v>25</v>
      </c>
      <c r="H2228" s="2"/>
      <c r="I2228" s="2"/>
      <c r="J2228" s="2" t="s">
        <v>19</v>
      </c>
      <c r="K2228" s="2"/>
      <c r="L2228" s="4" t="s">
        <v>6014</v>
      </c>
    </row>
    <row r="2229" customFormat="false" ht="13.35" hidden="false" customHeight="true" outlineLevel="0" collapsed="false">
      <c r="A2229" s="5" t="str">
        <f aca="false">HYPERLINK("https://www.fabsurplus.com/sdi_catalog/salesItemDetails.do?id=102783")</f>
        <v>https://www.fabsurplus.com/sdi_catalog/salesItemDetails.do?id=102783</v>
      </c>
      <c r="B2229" s="5" t="s">
        <v>6015</v>
      </c>
      <c r="C2229" s="5" t="s">
        <v>5985</v>
      </c>
      <c r="D2229" s="5" t="s">
        <v>6006</v>
      </c>
      <c r="E2229" s="5" t="s">
        <v>5987</v>
      </c>
      <c r="F2229" s="5" t="s">
        <v>16</v>
      </c>
      <c r="G2229" s="5" t="s">
        <v>25</v>
      </c>
      <c r="H2229" s="5"/>
      <c r="I2229" s="5"/>
      <c r="J2229" s="5" t="s">
        <v>19</v>
      </c>
      <c r="K2229" s="5"/>
      <c r="L2229" s="7" t="s">
        <v>6016</v>
      </c>
    </row>
    <row r="2230" customFormat="false" ht="13.35" hidden="false" customHeight="true" outlineLevel="0" collapsed="false">
      <c r="A2230" s="2" t="str">
        <f aca="false">HYPERLINK("https://www.fabsurplus.com/sdi_catalog/salesItemDetails.do?id=102784")</f>
        <v>https://www.fabsurplus.com/sdi_catalog/salesItemDetails.do?id=102784</v>
      </c>
      <c r="B2230" s="2" t="s">
        <v>6017</v>
      </c>
      <c r="C2230" s="2" t="s">
        <v>5985</v>
      </c>
      <c r="D2230" s="2" t="s">
        <v>6018</v>
      </c>
      <c r="E2230" s="2" t="s">
        <v>5987</v>
      </c>
      <c r="F2230" s="2" t="s">
        <v>16</v>
      </c>
      <c r="G2230" s="2" t="s">
        <v>25</v>
      </c>
      <c r="H2230" s="2"/>
      <c r="I2230" s="2"/>
      <c r="J2230" s="2" t="s">
        <v>19</v>
      </c>
      <c r="K2230" s="2"/>
      <c r="L2230" s="4" t="s">
        <v>6019</v>
      </c>
    </row>
    <row r="2231" customFormat="false" ht="13.35" hidden="false" customHeight="true" outlineLevel="0" collapsed="false">
      <c r="A2231" s="5" t="str">
        <f aca="false">HYPERLINK("https://www.fabsurplus.com/sdi_catalog/salesItemDetails.do?id=102785")</f>
        <v>https://www.fabsurplus.com/sdi_catalog/salesItemDetails.do?id=102785</v>
      </c>
      <c r="B2231" s="5" t="s">
        <v>6020</v>
      </c>
      <c r="C2231" s="5" t="s">
        <v>5985</v>
      </c>
      <c r="D2231" s="5" t="s">
        <v>6018</v>
      </c>
      <c r="E2231" s="5" t="s">
        <v>5987</v>
      </c>
      <c r="F2231" s="5" t="s">
        <v>16</v>
      </c>
      <c r="G2231" s="5" t="s">
        <v>25</v>
      </c>
      <c r="H2231" s="5"/>
      <c r="I2231" s="5"/>
      <c r="J2231" s="5" t="s">
        <v>19</v>
      </c>
      <c r="K2231" s="5"/>
      <c r="L2231" s="7" t="s">
        <v>6019</v>
      </c>
    </row>
    <row r="2232" customFormat="false" ht="13.35" hidden="false" customHeight="true" outlineLevel="0" collapsed="false">
      <c r="A2232" s="2" t="str">
        <f aca="false">HYPERLINK("https://www.fabsurplus.com/sdi_catalog/salesItemDetails.do?id=102786")</f>
        <v>https://www.fabsurplus.com/sdi_catalog/salesItemDetails.do?id=102786</v>
      </c>
      <c r="B2232" s="2" t="s">
        <v>6021</v>
      </c>
      <c r="C2232" s="2" t="s">
        <v>5985</v>
      </c>
      <c r="D2232" s="2" t="s">
        <v>6018</v>
      </c>
      <c r="E2232" s="2" t="s">
        <v>5987</v>
      </c>
      <c r="F2232" s="2" t="s">
        <v>16</v>
      </c>
      <c r="G2232" s="2" t="s">
        <v>25</v>
      </c>
      <c r="H2232" s="2"/>
      <c r="I2232" s="2"/>
      <c r="J2232" s="2" t="s">
        <v>19</v>
      </c>
      <c r="K2232" s="2"/>
      <c r="L2232" s="4" t="s">
        <v>6022</v>
      </c>
    </row>
    <row r="2233" customFormat="false" ht="13.35" hidden="false" customHeight="true" outlineLevel="0" collapsed="false">
      <c r="A2233" s="5" t="str">
        <f aca="false">HYPERLINK("https://www.fabsurplus.com/sdi_catalog/salesItemDetails.do?id=102787")</f>
        <v>https://www.fabsurplus.com/sdi_catalog/salesItemDetails.do?id=102787</v>
      </c>
      <c r="B2233" s="5" t="s">
        <v>6023</v>
      </c>
      <c r="C2233" s="5" t="s">
        <v>5985</v>
      </c>
      <c r="D2233" s="5" t="s">
        <v>6018</v>
      </c>
      <c r="E2233" s="5" t="s">
        <v>5987</v>
      </c>
      <c r="F2233" s="5" t="s">
        <v>16</v>
      </c>
      <c r="G2233" s="5" t="s">
        <v>25</v>
      </c>
      <c r="H2233" s="5"/>
      <c r="I2233" s="5"/>
      <c r="J2233" s="5" t="s">
        <v>19</v>
      </c>
      <c r="K2233" s="5"/>
      <c r="L2233" s="7" t="s">
        <v>6024</v>
      </c>
    </row>
    <row r="2234" customFormat="false" ht="13.35" hidden="false" customHeight="true" outlineLevel="0" collapsed="false">
      <c r="A2234" s="2" t="str">
        <f aca="false">HYPERLINK("https://www.fabsurplus.com/sdi_catalog/salesItemDetails.do?id=102788")</f>
        <v>https://www.fabsurplus.com/sdi_catalog/salesItemDetails.do?id=102788</v>
      </c>
      <c r="B2234" s="2" t="s">
        <v>6025</v>
      </c>
      <c r="C2234" s="2" t="s">
        <v>5985</v>
      </c>
      <c r="D2234" s="2" t="s">
        <v>6018</v>
      </c>
      <c r="E2234" s="2" t="s">
        <v>5987</v>
      </c>
      <c r="F2234" s="2" t="s">
        <v>16</v>
      </c>
      <c r="G2234" s="2" t="s">
        <v>25</v>
      </c>
      <c r="H2234" s="2"/>
      <c r="I2234" s="2"/>
      <c r="J2234" s="2" t="s">
        <v>19</v>
      </c>
      <c r="K2234" s="2"/>
      <c r="L2234" s="4" t="s">
        <v>6026</v>
      </c>
    </row>
    <row r="2235" customFormat="false" ht="13.35" hidden="false" customHeight="true" outlineLevel="0" collapsed="false">
      <c r="A2235" s="2" t="str">
        <f aca="false">HYPERLINK("https://www.fabsurplus.com/sdi_catalog/salesItemDetails.do?id=102469")</f>
        <v>https://www.fabsurplus.com/sdi_catalog/salesItemDetails.do?id=102469</v>
      </c>
      <c r="B2235" s="2" t="s">
        <v>6027</v>
      </c>
      <c r="C2235" s="2" t="s">
        <v>6028</v>
      </c>
      <c r="D2235" s="2" t="s">
        <v>6029</v>
      </c>
      <c r="E2235" s="2" t="s">
        <v>6030</v>
      </c>
      <c r="F2235" s="2" t="s">
        <v>366</v>
      </c>
      <c r="G2235" s="2" t="s">
        <v>4796</v>
      </c>
      <c r="H2235" s="2" t="s">
        <v>26</v>
      </c>
      <c r="I2235" s="2"/>
      <c r="J2235" s="2" t="s">
        <v>19</v>
      </c>
      <c r="K2235" s="2" t="s">
        <v>20</v>
      </c>
      <c r="L2235" s="2" t="s">
        <v>6031</v>
      </c>
    </row>
    <row r="2236" customFormat="false" ht="13.35" hidden="false" customHeight="true" outlineLevel="0" collapsed="false">
      <c r="A2236" s="2" t="str">
        <f aca="false">HYPERLINK("https://www.fabsurplus.com/sdi_catalog/salesItemDetails.do?id=102470")</f>
        <v>https://www.fabsurplus.com/sdi_catalog/salesItemDetails.do?id=102470</v>
      </c>
      <c r="B2236" s="2" t="s">
        <v>6032</v>
      </c>
      <c r="C2236" s="2" t="s">
        <v>6028</v>
      </c>
      <c r="D2236" s="2" t="s">
        <v>6033</v>
      </c>
      <c r="E2236" s="2" t="s">
        <v>6030</v>
      </c>
      <c r="F2236" s="2" t="s">
        <v>125</v>
      </c>
      <c r="G2236" s="2" t="s">
        <v>4796</v>
      </c>
      <c r="H2236" s="2" t="s">
        <v>26</v>
      </c>
      <c r="I2236" s="2"/>
      <c r="J2236" s="2" t="s">
        <v>19</v>
      </c>
      <c r="K2236" s="2" t="s">
        <v>20</v>
      </c>
      <c r="L2236" s="2" t="s">
        <v>6034</v>
      </c>
    </row>
    <row r="2237" customFormat="false" ht="13.35" hidden="false" customHeight="true" outlineLevel="0" collapsed="false">
      <c r="A2237" s="5" t="str">
        <f aca="false">HYPERLINK("https://www.fabsurplus.com/sdi_catalog/salesItemDetails.do?id=101759")</f>
        <v>https://www.fabsurplus.com/sdi_catalog/salesItemDetails.do?id=101759</v>
      </c>
      <c r="B2237" s="5" t="s">
        <v>6035</v>
      </c>
      <c r="C2237" s="5" t="s">
        <v>6036</v>
      </c>
      <c r="D2237" s="5" t="s">
        <v>6037</v>
      </c>
      <c r="E2237" s="5" t="s">
        <v>6038</v>
      </c>
      <c r="F2237" s="5" t="s">
        <v>16</v>
      </c>
      <c r="G2237" s="5"/>
      <c r="H2237" s="5"/>
      <c r="I2237" s="6" t="n">
        <v>42186</v>
      </c>
      <c r="J2237" s="5" t="s">
        <v>47</v>
      </c>
      <c r="K2237" s="5"/>
      <c r="L2237" s="5" t="s">
        <v>474</v>
      </c>
    </row>
    <row r="2238" customFormat="false" ht="13.35" hidden="false" customHeight="true" outlineLevel="0" collapsed="false">
      <c r="A2238" s="2" t="str">
        <f aca="false">HYPERLINK("https://www.fabsurplus.com/sdi_catalog/salesItemDetails.do?id=102176")</f>
        <v>https://www.fabsurplus.com/sdi_catalog/salesItemDetails.do?id=102176</v>
      </c>
      <c r="B2238" s="2" t="s">
        <v>6039</v>
      </c>
      <c r="C2238" s="2" t="s">
        <v>6040</v>
      </c>
      <c r="D2238" s="2" t="s">
        <v>6041</v>
      </c>
      <c r="E2238" s="2" t="s">
        <v>6042</v>
      </c>
      <c r="F2238" s="2" t="s">
        <v>16</v>
      </c>
      <c r="G2238" s="2" t="s">
        <v>17</v>
      </c>
      <c r="H2238" s="2"/>
      <c r="I2238" s="3" t="n">
        <v>41426</v>
      </c>
      <c r="J2238" s="2" t="s">
        <v>19</v>
      </c>
      <c r="K2238" s="2"/>
      <c r="L2238" s="2"/>
    </row>
    <row r="2239" customFormat="false" ht="13.35" hidden="false" customHeight="true" outlineLevel="0" collapsed="false">
      <c r="A2239" s="2" t="str">
        <f aca="false">HYPERLINK("https://www.fabsurplus.com/sdi_catalog/salesItemDetails.do?id=102178")</f>
        <v>https://www.fabsurplus.com/sdi_catalog/salesItemDetails.do?id=102178</v>
      </c>
      <c r="B2239" s="2" t="s">
        <v>6043</v>
      </c>
      <c r="C2239" s="2" t="s">
        <v>6040</v>
      </c>
      <c r="D2239" s="2" t="s">
        <v>6041</v>
      </c>
      <c r="E2239" s="2" t="s">
        <v>6044</v>
      </c>
      <c r="F2239" s="2" t="s">
        <v>16</v>
      </c>
      <c r="G2239" s="2" t="s">
        <v>17</v>
      </c>
      <c r="H2239" s="2"/>
      <c r="I2239" s="3" t="n">
        <v>42156</v>
      </c>
      <c r="J2239" s="2" t="s">
        <v>19</v>
      </c>
      <c r="K2239" s="2"/>
      <c r="L2239" s="2"/>
    </row>
    <row r="2240" customFormat="false" ht="13.35" hidden="false" customHeight="true" outlineLevel="0" collapsed="false">
      <c r="A2240" s="5" t="str">
        <f aca="false">HYPERLINK("https://www.fabsurplus.com/sdi_catalog/salesItemDetails.do?id=102177")</f>
        <v>https://www.fabsurplus.com/sdi_catalog/salesItemDetails.do?id=102177</v>
      </c>
      <c r="B2240" s="5" t="s">
        <v>6045</v>
      </c>
      <c r="C2240" s="5" t="s">
        <v>6040</v>
      </c>
      <c r="D2240" s="5" t="s">
        <v>6041</v>
      </c>
      <c r="E2240" s="5" t="s">
        <v>6046</v>
      </c>
      <c r="F2240" s="5" t="s">
        <v>16</v>
      </c>
      <c r="G2240" s="5" t="s">
        <v>17</v>
      </c>
      <c r="H2240" s="5"/>
      <c r="I2240" s="6" t="n">
        <v>42156</v>
      </c>
      <c r="J2240" s="5" t="s">
        <v>19</v>
      </c>
      <c r="K2240" s="5"/>
      <c r="L2240" s="5"/>
    </row>
    <row r="2241" customFormat="false" ht="13.35" hidden="false" customHeight="true" outlineLevel="0" collapsed="false">
      <c r="A2241" s="2" t="str">
        <f aca="false">HYPERLINK("https://www.fabsurplus.com/sdi_catalog/salesItemDetails.do?id=103176")</f>
        <v>https://www.fabsurplus.com/sdi_catalog/salesItemDetails.do?id=103176</v>
      </c>
      <c r="B2241" s="2" t="s">
        <v>6047</v>
      </c>
      <c r="C2241" s="2" t="s">
        <v>6048</v>
      </c>
      <c r="D2241" s="2" t="s">
        <v>6049</v>
      </c>
      <c r="E2241" s="2" t="s">
        <v>6050</v>
      </c>
      <c r="F2241" s="2" t="s">
        <v>16</v>
      </c>
      <c r="G2241" s="2"/>
      <c r="H2241" s="2"/>
      <c r="I2241" s="2"/>
      <c r="J2241" s="2" t="s">
        <v>47</v>
      </c>
      <c r="K2241" s="2"/>
      <c r="L2241" s="4" t="s">
        <v>6051</v>
      </c>
    </row>
    <row r="2242" customFormat="false" ht="13.35" hidden="false" customHeight="true" outlineLevel="0" collapsed="false">
      <c r="A2242" s="5" t="str">
        <f aca="false">HYPERLINK("https://www.fabsurplus.com/sdi_catalog/salesItemDetails.do?id=103177")</f>
        <v>https://www.fabsurplus.com/sdi_catalog/salesItemDetails.do?id=103177</v>
      </c>
      <c r="B2242" s="5" t="s">
        <v>6052</v>
      </c>
      <c r="C2242" s="5" t="s">
        <v>6048</v>
      </c>
      <c r="D2242" s="5" t="s">
        <v>6053</v>
      </c>
      <c r="E2242" s="5" t="s">
        <v>6054</v>
      </c>
      <c r="F2242" s="5" t="s">
        <v>16</v>
      </c>
      <c r="G2242" s="5" t="s">
        <v>493</v>
      </c>
      <c r="H2242" s="5"/>
      <c r="I2242" s="5"/>
      <c r="J2242" s="5" t="s">
        <v>47</v>
      </c>
      <c r="K2242" s="5"/>
      <c r="L2242" s="7" t="s">
        <v>6055</v>
      </c>
    </row>
    <row r="2243" customFormat="false" ht="13.35" hidden="false" customHeight="true" outlineLevel="0" collapsed="false">
      <c r="A2243" s="2" t="str">
        <f aca="false">HYPERLINK("https://www.fabsurplus.com/sdi_catalog/salesItemDetails.do?id=102981")</f>
        <v>https://www.fabsurplus.com/sdi_catalog/salesItemDetails.do?id=102981</v>
      </c>
      <c r="B2243" s="2" t="s">
        <v>6056</v>
      </c>
      <c r="C2243" s="2" t="s">
        <v>6057</v>
      </c>
      <c r="D2243" s="2" t="s">
        <v>6058</v>
      </c>
      <c r="E2243" s="2" t="s">
        <v>6059</v>
      </c>
      <c r="F2243" s="2" t="s">
        <v>16</v>
      </c>
      <c r="G2243" s="2" t="s">
        <v>499</v>
      </c>
      <c r="H2243" s="2"/>
      <c r="I2243" s="3" t="n">
        <v>38504</v>
      </c>
      <c r="J2243" s="2" t="s">
        <v>19</v>
      </c>
      <c r="K2243" s="2"/>
      <c r="L2243" s="2"/>
    </row>
    <row r="2244" customFormat="false" ht="13.35" hidden="false" customHeight="true" outlineLevel="0" collapsed="false">
      <c r="A2244" s="5" t="str">
        <f aca="false">HYPERLINK("https://www.fabsurplus.com/sdi_catalog/salesItemDetails.do?id=100650")</f>
        <v>https://www.fabsurplus.com/sdi_catalog/salesItemDetails.do?id=100650</v>
      </c>
      <c r="B2244" s="5" t="s">
        <v>6060</v>
      </c>
      <c r="C2244" s="5" t="s">
        <v>6061</v>
      </c>
      <c r="D2244" s="5" t="s">
        <v>6062</v>
      </c>
      <c r="E2244" s="5" t="s">
        <v>6063</v>
      </c>
      <c r="F2244" s="5" t="s">
        <v>16</v>
      </c>
      <c r="G2244" s="5" t="s">
        <v>160</v>
      </c>
      <c r="H2244" s="5"/>
      <c r="I2244" s="5"/>
      <c r="J2244" s="5" t="s">
        <v>19</v>
      </c>
      <c r="K2244" s="5"/>
      <c r="L2244" s="5" t="s">
        <v>474</v>
      </c>
    </row>
    <row r="2245" customFormat="false" ht="13.35" hidden="false" customHeight="true" outlineLevel="0" collapsed="false">
      <c r="A2245" s="2" t="str">
        <f aca="false">HYPERLINK("https://www.fabsurplus.com/sdi_catalog/salesItemDetails.do?id=102394")</f>
        <v>https://www.fabsurplus.com/sdi_catalog/salesItemDetails.do?id=102394</v>
      </c>
      <c r="B2245" s="2" t="s">
        <v>6064</v>
      </c>
      <c r="C2245" s="2" t="s">
        <v>6065</v>
      </c>
      <c r="D2245" s="2" t="s">
        <v>6066</v>
      </c>
      <c r="E2245" s="2" t="s">
        <v>6067</v>
      </c>
      <c r="F2245" s="2" t="s">
        <v>16</v>
      </c>
      <c r="G2245" s="2" t="s">
        <v>17</v>
      </c>
      <c r="H2245" s="2"/>
      <c r="I2245" s="2"/>
      <c r="J2245" s="2" t="s">
        <v>19</v>
      </c>
      <c r="K2245" s="2"/>
      <c r="L2245" s="2"/>
    </row>
    <row r="2246" customFormat="false" ht="13.35" hidden="false" customHeight="true" outlineLevel="0" collapsed="false">
      <c r="A2246" s="2" t="str">
        <f aca="false">HYPERLINK("https://www.fabsurplus.com/sdi_catalog/salesItemDetails.do?id=97878")</f>
        <v>https://www.fabsurplus.com/sdi_catalog/salesItemDetails.do?id=97878</v>
      </c>
      <c r="B2246" s="2" t="s">
        <v>6068</v>
      </c>
      <c r="C2246" s="2" t="s">
        <v>6069</v>
      </c>
      <c r="D2246" s="2" t="s">
        <v>6070</v>
      </c>
      <c r="E2246" s="2" t="s">
        <v>6071</v>
      </c>
      <c r="F2246" s="2" t="s">
        <v>16</v>
      </c>
      <c r="G2246" s="2"/>
      <c r="H2246" s="2"/>
      <c r="I2246" s="2"/>
      <c r="J2246" s="2" t="s">
        <v>19</v>
      </c>
      <c r="K2246" s="2"/>
      <c r="L2246" s="2"/>
    </row>
    <row r="2247" customFormat="false" ht="13.35" hidden="false" customHeight="true" outlineLevel="0" collapsed="false">
      <c r="A2247" s="5" t="str">
        <f aca="false">HYPERLINK("https://www.fabsurplus.com/sdi_catalog/salesItemDetails.do?id=99271")</f>
        <v>https://www.fabsurplus.com/sdi_catalog/salesItemDetails.do?id=99271</v>
      </c>
      <c r="B2247" s="5" t="s">
        <v>6072</v>
      </c>
      <c r="C2247" s="5" t="s">
        <v>6073</v>
      </c>
      <c r="D2247" s="5" t="s">
        <v>6074</v>
      </c>
      <c r="E2247" s="5" t="s">
        <v>6075</v>
      </c>
      <c r="F2247" s="5" t="s">
        <v>16</v>
      </c>
      <c r="G2247" s="5" t="s">
        <v>6076</v>
      </c>
      <c r="H2247" s="5" t="s">
        <v>26</v>
      </c>
      <c r="I2247" s="6" t="n">
        <v>38869</v>
      </c>
      <c r="J2247" s="5" t="s">
        <v>19</v>
      </c>
      <c r="K2247" s="5" t="s">
        <v>20</v>
      </c>
      <c r="L2247" s="7" t="s">
        <v>6077</v>
      </c>
    </row>
    <row r="2248" customFormat="false" ht="13.35" hidden="false" customHeight="true" outlineLevel="0" collapsed="false">
      <c r="A2248" s="2" t="str">
        <f aca="false">HYPERLINK("https://www.fabsurplus.com/sdi_catalog/salesItemDetails.do?id=103178")</f>
        <v>https://www.fabsurplus.com/sdi_catalog/salesItemDetails.do?id=103178</v>
      </c>
      <c r="B2248" s="2" t="s">
        <v>6078</v>
      </c>
      <c r="C2248" s="2" t="s">
        <v>6079</v>
      </c>
      <c r="D2248" s="2" t="s">
        <v>6080</v>
      </c>
      <c r="E2248" s="2" t="s">
        <v>6081</v>
      </c>
      <c r="F2248" s="2" t="s">
        <v>16</v>
      </c>
      <c r="G2248" s="2"/>
      <c r="H2248" s="2"/>
      <c r="I2248" s="3" t="n">
        <v>36678</v>
      </c>
      <c r="J2248" s="2" t="s">
        <v>47</v>
      </c>
      <c r="K2248" s="2"/>
      <c r="L2248" s="4" t="s">
        <v>6082</v>
      </c>
    </row>
    <row r="2249" customFormat="false" ht="13.35" hidden="false" customHeight="true" outlineLevel="0" collapsed="false">
      <c r="A2249" s="5" t="str">
        <f aca="false">HYPERLINK("https://www.fabsurplus.com/sdi_catalog/salesItemDetails.do?id=101675")</f>
        <v>https://www.fabsurplus.com/sdi_catalog/salesItemDetails.do?id=101675</v>
      </c>
      <c r="B2249" s="5" t="s">
        <v>6083</v>
      </c>
      <c r="C2249" s="5" t="s">
        <v>6084</v>
      </c>
      <c r="D2249" s="5" t="s">
        <v>6085</v>
      </c>
      <c r="E2249" s="5" t="s">
        <v>6086</v>
      </c>
      <c r="F2249" s="5" t="s">
        <v>16</v>
      </c>
      <c r="G2249" s="5" t="s">
        <v>154</v>
      </c>
      <c r="H2249" s="5"/>
      <c r="I2249" s="5"/>
      <c r="J2249" s="5" t="s">
        <v>19</v>
      </c>
      <c r="K2249" s="5"/>
      <c r="L2249" s="5"/>
    </row>
    <row r="2250" customFormat="false" ht="13.35" hidden="false" customHeight="true" outlineLevel="0" collapsed="false">
      <c r="A2250" s="5" t="str">
        <f aca="false">HYPERLINK("https://www.fabsurplus.com/sdi_catalog/salesItemDetails.do?id=102623")</f>
        <v>https://www.fabsurplus.com/sdi_catalog/salesItemDetails.do?id=102623</v>
      </c>
      <c r="B2250" s="5" t="s">
        <v>6087</v>
      </c>
      <c r="C2250" s="5" t="s">
        <v>6084</v>
      </c>
      <c r="D2250" s="5" t="s">
        <v>6088</v>
      </c>
      <c r="E2250" s="5" t="s">
        <v>6089</v>
      </c>
      <c r="F2250" s="5" t="s">
        <v>16</v>
      </c>
      <c r="G2250" s="5" t="s">
        <v>36</v>
      </c>
      <c r="H2250" s="5" t="s">
        <v>592</v>
      </c>
      <c r="I2250" s="6" t="n">
        <v>40330</v>
      </c>
      <c r="J2250" s="5" t="s">
        <v>19</v>
      </c>
      <c r="K2250" s="5" t="s">
        <v>20</v>
      </c>
      <c r="L2250" s="7" t="s">
        <v>6090</v>
      </c>
    </row>
    <row r="2251" customFormat="false" ht="13.35" hidden="false" customHeight="true" outlineLevel="0" collapsed="false">
      <c r="A2251" s="5" t="str">
        <f aca="false">HYPERLINK("https://www.fabsurplus.com/sdi_catalog/salesItemDetails.do?id=91877")</f>
        <v>https://www.fabsurplus.com/sdi_catalog/salesItemDetails.do?id=91877</v>
      </c>
      <c r="B2251" s="5" t="s">
        <v>6091</v>
      </c>
      <c r="C2251" s="5" t="s">
        <v>6092</v>
      </c>
      <c r="D2251" s="5" t="s">
        <v>6093</v>
      </c>
      <c r="E2251" s="5" t="s">
        <v>6094</v>
      </c>
      <c r="F2251" s="5" t="s">
        <v>16</v>
      </c>
      <c r="G2251" s="5"/>
      <c r="H2251" s="5"/>
      <c r="I2251" s="5"/>
      <c r="J2251" s="5" t="s">
        <v>47</v>
      </c>
      <c r="K2251" s="5"/>
      <c r="L2251" s="5"/>
    </row>
    <row r="2252" customFormat="false" ht="13.35" hidden="false" customHeight="true" outlineLevel="0" collapsed="false">
      <c r="A2252" s="2" t="str">
        <f aca="false">HYPERLINK("https://www.fabsurplus.com/sdi_catalog/salesItemDetails.do?id=101848")</f>
        <v>https://www.fabsurplus.com/sdi_catalog/salesItemDetails.do?id=101848</v>
      </c>
      <c r="B2252" s="2" t="s">
        <v>6095</v>
      </c>
      <c r="C2252" s="2" t="s">
        <v>6096</v>
      </c>
      <c r="D2252" s="2" t="s">
        <v>6097</v>
      </c>
      <c r="E2252" s="2" t="s">
        <v>6098</v>
      </c>
      <c r="F2252" s="2" t="s">
        <v>16</v>
      </c>
      <c r="G2252" s="2" t="s">
        <v>190</v>
      </c>
      <c r="H2252" s="2" t="s">
        <v>26</v>
      </c>
      <c r="I2252" s="3" t="n">
        <v>39234</v>
      </c>
      <c r="J2252" s="2" t="s">
        <v>19</v>
      </c>
      <c r="K2252" s="2" t="s">
        <v>20</v>
      </c>
      <c r="L2252" s="4" t="s">
        <v>6099</v>
      </c>
    </row>
    <row r="2253" customFormat="false" ht="13.35" hidden="false" customHeight="true" outlineLevel="0" collapsed="false">
      <c r="A2253" s="5" t="str">
        <f aca="false">HYPERLINK("https://www.fabsurplus.com/sdi_catalog/salesItemDetails.do?id=102494")</f>
        <v>https://www.fabsurplus.com/sdi_catalog/salesItemDetails.do?id=102494</v>
      </c>
      <c r="B2253" s="5" t="s">
        <v>6100</v>
      </c>
      <c r="C2253" s="5" t="s">
        <v>6096</v>
      </c>
      <c r="D2253" s="5" t="s">
        <v>6097</v>
      </c>
      <c r="E2253" s="5" t="s">
        <v>6101</v>
      </c>
      <c r="F2253" s="5" t="s">
        <v>16</v>
      </c>
      <c r="G2253" s="5" t="s">
        <v>181</v>
      </c>
      <c r="H2253" s="5" t="s">
        <v>978</v>
      </c>
      <c r="I2253" s="6" t="n">
        <v>39356</v>
      </c>
      <c r="J2253" s="5" t="s">
        <v>19</v>
      </c>
      <c r="K2253" s="5" t="s">
        <v>20</v>
      </c>
      <c r="L2253" s="7" t="s">
        <v>6102</v>
      </c>
    </row>
    <row r="2254" customFormat="false" ht="13.35" hidden="false" customHeight="true" outlineLevel="0" collapsed="false">
      <c r="A2254" s="2" t="str">
        <f aca="false">HYPERLINK("https://www.fabsurplus.com/sdi_catalog/salesItemDetails.do?id=103119")</f>
        <v>https://www.fabsurplus.com/sdi_catalog/salesItemDetails.do?id=103119</v>
      </c>
      <c r="B2254" s="2" t="s">
        <v>6103</v>
      </c>
      <c r="C2254" s="2" t="s">
        <v>6104</v>
      </c>
      <c r="D2254" s="2" t="s">
        <v>6105</v>
      </c>
      <c r="E2254" s="2" t="s">
        <v>6106</v>
      </c>
      <c r="F2254" s="2" t="s">
        <v>16</v>
      </c>
      <c r="G2254" s="2"/>
      <c r="H2254" s="2"/>
      <c r="I2254" s="3" t="n">
        <v>37408</v>
      </c>
      <c r="J2254" s="2" t="s">
        <v>19</v>
      </c>
      <c r="K2254" s="2"/>
      <c r="L2254" s="2" t="s">
        <v>6107</v>
      </c>
    </row>
    <row r="2255" customFormat="false" ht="13.35" hidden="false" customHeight="true" outlineLevel="0" collapsed="false">
      <c r="A2255" s="5" t="str">
        <f aca="false">HYPERLINK("https://www.fabsurplus.com/sdi_catalog/salesItemDetails.do?id=102395")</f>
        <v>https://www.fabsurplus.com/sdi_catalog/salesItemDetails.do?id=102395</v>
      </c>
      <c r="B2255" s="5" t="s">
        <v>6108</v>
      </c>
      <c r="C2255" s="5" t="s">
        <v>6104</v>
      </c>
      <c r="D2255" s="5" t="s">
        <v>6109</v>
      </c>
      <c r="E2255" s="5" t="s">
        <v>6110</v>
      </c>
      <c r="F2255" s="5" t="s">
        <v>16</v>
      </c>
      <c r="G2255" s="5" t="s">
        <v>36</v>
      </c>
      <c r="H2255" s="5"/>
      <c r="I2255" s="6" t="n">
        <v>36678</v>
      </c>
      <c r="J2255" s="5" t="s">
        <v>19</v>
      </c>
      <c r="K2255" s="5"/>
      <c r="L2255" s="5"/>
    </row>
    <row r="2256" customFormat="false" ht="13.35" hidden="false" customHeight="true" outlineLevel="0" collapsed="false">
      <c r="A2256" s="5" t="str">
        <f aca="false">HYPERLINK("https://www.fabsurplus.com/sdi_catalog/salesItemDetails.do?id=100046")</f>
        <v>https://www.fabsurplus.com/sdi_catalog/salesItemDetails.do?id=100046</v>
      </c>
      <c r="B2256" s="5" t="s">
        <v>6111</v>
      </c>
      <c r="C2256" s="5" t="s">
        <v>6112</v>
      </c>
      <c r="D2256" s="5" t="s">
        <v>6113</v>
      </c>
      <c r="E2256" s="5" t="s">
        <v>6114</v>
      </c>
      <c r="F2256" s="5" t="s">
        <v>16</v>
      </c>
      <c r="G2256" s="5"/>
      <c r="H2256" s="5"/>
      <c r="I2256" s="5"/>
      <c r="J2256" s="5" t="s">
        <v>19</v>
      </c>
      <c r="K2256" s="5"/>
      <c r="L2256" s="7" t="s">
        <v>439</v>
      </c>
    </row>
    <row r="2257" customFormat="false" ht="13.35" hidden="false" customHeight="true" outlineLevel="0" collapsed="false">
      <c r="A2257" s="2" t="str">
        <f aca="false">HYPERLINK("https://www.fabsurplus.com/sdi_catalog/salesItemDetails.do?id=100047")</f>
        <v>https://www.fabsurplus.com/sdi_catalog/salesItemDetails.do?id=100047</v>
      </c>
      <c r="B2257" s="2" t="s">
        <v>6115</v>
      </c>
      <c r="C2257" s="2" t="s">
        <v>6112</v>
      </c>
      <c r="D2257" s="2" t="s">
        <v>6113</v>
      </c>
      <c r="E2257" s="2" t="s">
        <v>6114</v>
      </c>
      <c r="F2257" s="2" t="s">
        <v>16</v>
      </c>
      <c r="G2257" s="2"/>
      <c r="H2257" s="2"/>
      <c r="I2257" s="2"/>
      <c r="J2257" s="2" t="s">
        <v>19</v>
      </c>
      <c r="K2257" s="2"/>
      <c r="L2257" s="4" t="s">
        <v>439</v>
      </c>
    </row>
    <row r="2258" customFormat="false" ht="13.35" hidden="false" customHeight="true" outlineLevel="0" collapsed="false">
      <c r="A2258" s="2" t="str">
        <f aca="false">HYPERLINK("https://www.fabsurplus.com/sdi_catalog/salesItemDetails.do?id=101351")</f>
        <v>https://www.fabsurplus.com/sdi_catalog/salesItemDetails.do?id=101351</v>
      </c>
      <c r="B2258" s="2" t="s">
        <v>6116</v>
      </c>
      <c r="C2258" s="2" t="s">
        <v>6117</v>
      </c>
      <c r="D2258" s="2" t="s">
        <v>6118</v>
      </c>
      <c r="E2258" s="2" t="s">
        <v>6119</v>
      </c>
      <c r="F2258" s="2" t="s">
        <v>16</v>
      </c>
      <c r="G2258" s="2" t="s">
        <v>862</v>
      </c>
      <c r="H2258" s="2"/>
      <c r="I2258" s="2"/>
      <c r="J2258" s="2" t="s">
        <v>19</v>
      </c>
      <c r="K2258" s="2"/>
      <c r="L2258" s="2"/>
    </row>
    <row r="2259" customFormat="false" ht="13.35" hidden="false" customHeight="true" outlineLevel="0" collapsed="false">
      <c r="A2259" s="2" t="str">
        <f aca="false">HYPERLINK("https://www.fabsurplus.com/sdi_catalog/salesItemDetails.do?id=99906")</f>
        <v>https://www.fabsurplus.com/sdi_catalog/salesItemDetails.do?id=99906</v>
      </c>
      <c r="B2259" s="2" t="s">
        <v>6120</v>
      </c>
      <c r="C2259" s="2" t="s">
        <v>6121</v>
      </c>
      <c r="D2259" s="2" t="s">
        <v>6122</v>
      </c>
      <c r="E2259" s="2" t="s">
        <v>6123</v>
      </c>
      <c r="F2259" s="2" t="s">
        <v>16</v>
      </c>
      <c r="G2259" s="2" t="s">
        <v>493</v>
      </c>
      <c r="H2259" s="2" t="s">
        <v>26</v>
      </c>
      <c r="I2259" s="2"/>
      <c r="J2259" s="2" t="s">
        <v>19</v>
      </c>
      <c r="K2259" s="2" t="s">
        <v>20</v>
      </c>
      <c r="L2259" s="4" t="s">
        <v>6124</v>
      </c>
    </row>
    <row r="2260" customFormat="false" ht="13.35" hidden="false" customHeight="true" outlineLevel="0" collapsed="false">
      <c r="A2260" s="5" t="str">
        <f aca="false">HYPERLINK("https://www.fabsurplus.com/sdi_catalog/salesItemDetails.do?id=96023")</f>
        <v>https://www.fabsurplus.com/sdi_catalog/salesItemDetails.do?id=96023</v>
      </c>
      <c r="B2260" s="5" t="s">
        <v>6125</v>
      </c>
      <c r="C2260" s="5" t="s">
        <v>6126</v>
      </c>
      <c r="D2260" s="5" t="s">
        <v>6127</v>
      </c>
      <c r="E2260" s="5" t="s">
        <v>6128</v>
      </c>
      <c r="F2260" s="5" t="s">
        <v>16</v>
      </c>
      <c r="G2260" s="5" t="s">
        <v>499</v>
      </c>
      <c r="H2260" s="5"/>
      <c r="I2260" s="5"/>
      <c r="J2260" s="5" t="s">
        <v>19</v>
      </c>
      <c r="K2260" s="5"/>
      <c r="L2260" s="7" t="s">
        <v>209</v>
      </c>
    </row>
    <row r="2261" customFormat="false" ht="13.35" hidden="false" customHeight="true" outlineLevel="0" collapsed="false">
      <c r="A2261" s="2" t="str">
        <f aca="false">HYPERLINK("https://www.fabsurplus.com/sdi_catalog/salesItemDetails.do?id=96024")</f>
        <v>https://www.fabsurplus.com/sdi_catalog/salesItemDetails.do?id=96024</v>
      </c>
      <c r="B2261" s="2" t="s">
        <v>6129</v>
      </c>
      <c r="C2261" s="2" t="s">
        <v>6126</v>
      </c>
      <c r="D2261" s="2" t="s">
        <v>6127</v>
      </c>
      <c r="E2261" s="2" t="s">
        <v>6128</v>
      </c>
      <c r="F2261" s="2" t="s">
        <v>16</v>
      </c>
      <c r="G2261" s="2" t="s">
        <v>499</v>
      </c>
      <c r="H2261" s="2"/>
      <c r="I2261" s="2"/>
      <c r="J2261" s="2" t="s">
        <v>19</v>
      </c>
      <c r="K2261" s="2"/>
      <c r="L2261" s="4" t="s">
        <v>209</v>
      </c>
    </row>
    <row r="2262" customFormat="false" ht="13.35" hidden="false" customHeight="true" outlineLevel="0" collapsed="false">
      <c r="A2262" s="5" t="str">
        <f aca="false">HYPERLINK("https://www.fabsurplus.com/sdi_catalog/salesItemDetails.do?id=95631")</f>
        <v>https://www.fabsurplus.com/sdi_catalog/salesItemDetails.do?id=95631</v>
      </c>
      <c r="B2262" s="5" t="s">
        <v>6130</v>
      </c>
      <c r="C2262" s="5" t="s">
        <v>6131</v>
      </c>
      <c r="D2262" s="5" t="s">
        <v>6132</v>
      </c>
      <c r="E2262" s="5" t="s">
        <v>6133</v>
      </c>
      <c r="F2262" s="5" t="s">
        <v>16</v>
      </c>
      <c r="G2262" s="5" t="s">
        <v>2640</v>
      </c>
      <c r="H2262" s="5" t="s">
        <v>18</v>
      </c>
      <c r="I2262" s="6" t="n">
        <v>36861</v>
      </c>
      <c r="J2262" s="5" t="s">
        <v>19</v>
      </c>
      <c r="K2262" s="5" t="s">
        <v>20</v>
      </c>
      <c r="L2262" s="7" t="s">
        <v>6134</v>
      </c>
    </row>
    <row r="2263" customFormat="false" ht="13.35" hidden="false" customHeight="true" outlineLevel="0" collapsed="false">
      <c r="A2263" s="5" t="str">
        <f aca="false">HYPERLINK("https://www.fabsurplus.com/sdi_catalog/salesItemDetails.do?id=99829")</f>
        <v>https://www.fabsurplus.com/sdi_catalog/salesItemDetails.do?id=99829</v>
      </c>
      <c r="B2263" s="5" t="s">
        <v>6135</v>
      </c>
      <c r="C2263" s="5" t="s">
        <v>6131</v>
      </c>
      <c r="D2263" s="5" t="s">
        <v>6136</v>
      </c>
      <c r="E2263" s="5" t="s">
        <v>5277</v>
      </c>
      <c r="F2263" s="5" t="s">
        <v>16</v>
      </c>
      <c r="G2263" s="5"/>
      <c r="H2263" s="5" t="s">
        <v>26</v>
      </c>
      <c r="I2263" s="6" t="n">
        <v>37408</v>
      </c>
      <c r="J2263" s="5" t="s">
        <v>19</v>
      </c>
      <c r="K2263" s="5" t="s">
        <v>20</v>
      </c>
      <c r="L2263" s="5"/>
    </row>
    <row r="2264" customFormat="false" ht="13.35" hidden="false" customHeight="true" outlineLevel="0" collapsed="false">
      <c r="A2264" s="2" t="str">
        <f aca="false">HYPERLINK("https://www.fabsurplus.com/sdi_catalog/salesItemDetails.do?id=98497")</f>
        <v>https://www.fabsurplus.com/sdi_catalog/salesItemDetails.do?id=98497</v>
      </c>
      <c r="B2264" s="2" t="s">
        <v>6137</v>
      </c>
      <c r="C2264" s="2" t="s">
        <v>6138</v>
      </c>
      <c r="D2264" s="2" t="s">
        <v>6139</v>
      </c>
      <c r="E2264" s="2" t="s">
        <v>6140</v>
      </c>
      <c r="F2264" s="2" t="s">
        <v>16</v>
      </c>
      <c r="G2264" s="2" t="s">
        <v>36</v>
      </c>
      <c r="H2264" s="2" t="s">
        <v>26</v>
      </c>
      <c r="I2264" s="2"/>
      <c r="J2264" s="2" t="s">
        <v>19</v>
      </c>
      <c r="K2264" s="2" t="s">
        <v>20</v>
      </c>
      <c r="L2264" s="4" t="s">
        <v>6141</v>
      </c>
    </row>
    <row r="2265" customFormat="false" ht="13.35" hidden="false" customHeight="true" outlineLevel="0" collapsed="false">
      <c r="A2265" s="5" t="str">
        <f aca="false">HYPERLINK("https://www.fabsurplus.com/sdi_catalog/salesItemDetails.do?id=103044")</f>
        <v>https://www.fabsurplus.com/sdi_catalog/salesItemDetails.do?id=103044</v>
      </c>
      <c r="B2265" s="5" t="s">
        <v>6142</v>
      </c>
      <c r="C2265" s="5" t="s">
        <v>6143</v>
      </c>
      <c r="D2265" s="5" t="s">
        <v>6144</v>
      </c>
      <c r="E2265" s="5" t="s">
        <v>6145</v>
      </c>
      <c r="F2265" s="5" t="s">
        <v>16</v>
      </c>
      <c r="G2265" s="5" t="s">
        <v>36</v>
      </c>
      <c r="H2265" s="5"/>
      <c r="I2265" s="5"/>
      <c r="J2265" s="5" t="s">
        <v>19</v>
      </c>
      <c r="K2265" s="5"/>
      <c r="L2265" s="7" t="s">
        <v>6146</v>
      </c>
    </row>
    <row r="2266" customFormat="false" ht="13.35" hidden="false" customHeight="true" outlineLevel="0" collapsed="false">
      <c r="A2266" s="5" t="str">
        <f aca="false">HYPERLINK("https://www.fabsurplus.com/sdi_catalog/salesItemDetails.do?id=98426")</f>
        <v>https://www.fabsurplus.com/sdi_catalog/salesItemDetails.do?id=98426</v>
      </c>
      <c r="B2266" s="5" t="s">
        <v>6147</v>
      </c>
      <c r="C2266" s="5" t="s">
        <v>6148</v>
      </c>
      <c r="D2266" s="5" t="s">
        <v>6149</v>
      </c>
      <c r="E2266" s="5" t="s">
        <v>6150</v>
      </c>
      <c r="F2266" s="5" t="s">
        <v>16</v>
      </c>
      <c r="G2266" s="5" t="s">
        <v>493</v>
      </c>
      <c r="H2266" s="5"/>
      <c r="I2266" s="5"/>
      <c r="J2266" s="5" t="s">
        <v>19</v>
      </c>
      <c r="K2266" s="5"/>
      <c r="L2266" s="7" t="s">
        <v>6151</v>
      </c>
    </row>
    <row r="2267" customFormat="false" ht="13.35" hidden="false" customHeight="true" outlineLevel="0" collapsed="false">
      <c r="A2267" s="5" t="str">
        <f aca="false">HYPERLINK("https://www.fabsurplus.com/sdi_catalog/salesItemDetails.do?id=101352")</f>
        <v>https://www.fabsurplus.com/sdi_catalog/salesItemDetails.do?id=101352</v>
      </c>
      <c r="B2267" s="5" t="s">
        <v>6152</v>
      </c>
      <c r="C2267" s="5" t="s">
        <v>6148</v>
      </c>
      <c r="D2267" s="5" t="s">
        <v>6153</v>
      </c>
      <c r="E2267" s="5" t="s">
        <v>6154</v>
      </c>
      <c r="F2267" s="5" t="s">
        <v>16</v>
      </c>
      <c r="G2267" s="5"/>
      <c r="H2267" s="5"/>
      <c r="I2267" s="5"/>
      <c r="J2267" s="5" t="s">
        <v>19</v>
      </c>
      <c r="K2267" s="5"/>
      <c r="L2267" s="5"/>
    </row>
    <row r="2268" customFormat="false" ht="13.35" hidden="false" customHeight="true" outlineLevel="0" collapsed="false">
      <c r="A2268" s="2" t="str">
        <f aca="false">HYPERLINK("https://www.fabsurplus.com/sdi_catalog/salesItemDetails.do?id=103014")</f>
        <v>https://www.fabsurplus.com/sdi_catalog/salesItemDetails.do?id=103014</v>
      </c>
      <c r="B2268" s="2" t="s">
        <v>6155</v>
      </c>
      <c r="C2268" s="2" t="s">
        <v>6156</v>
      </c>
      <c r="D2268" s="2" t="s">
        <v>6157</v>
      </c>
      <c r="E2268" s="2" t="s">
        <v>6158</v>
      </c>
      <c r="F2268" s="2" t="s">
        <v>16</v>
      </c>
      <c r="G2268" s="2" t="s">
        <v>493</v>
      </c>
      <c r="H2268" s="2"/>
      <c r="I2268" s="3" t="n">
        <v>37043</v>
      </c>
      <c r="J2268" s="2" t="s">
        <v>19</v>
      </c>
      <c r="K2268" s="2"/>
      <c r="L2268" s="4" t="s">
        <v>6159</v>
      </c>
    </row>
    <row r="2269" customFormat="false" ht="13.35" hidden="false" customHeight="true" outlineLevel="0" collapsed="false">
      <c r="A2269" s="2" t="str">
        <f aca="false">HYPERLINK("https://www.fabsurplus.com/sdi_catalog/salesItemDetails.do?id=101353")</f>
        <v>https://www.fabsurplus.com/sdi_catalog/salesItemDetails.do?id=101353</v>
      </c>
      <c r="B2269" s="2" t="s">
        <v>6160</v>
      </c>
      <c r="C2269" s="2" t="s">
        <v>6161</v>
      </c>
      <c r="D2269" s="2" t="s">
        <v>6162</v>
      </c>
      <c r="E2269" s="2" t="s">
        <v>6054</v>
      </c>
      <c r="F2269" s="2" t="s">
        <v>16</v>
      </c>
      <c r="G2269" s="2" t="s">
        <v>1416</v>
      </c>
      <c r="H2269" s="2"/>
      <c r="I2269" s="2"/>
      <c r="J2269" s="2" t="s">
        <v>19</v>
      </c>
      <c r="K2269" s="2"/>
      <c r="L2269" s="2"/>
    </row>
    <row r="2270" customFormat="false" ht="13.35" hidden="false" customHeight="true" outlineLevel="0" collapsed="false">
      <c r="A2270" s="2" t="str">
        <f aca="false">HYPERLINK("https://www.fabsurplus.com/sdi_catalog/salesItemDetails.do?id=98427")</f>
        <v>https://www.fabsurplus.com/sdi_catalog/salesItemDetails.do?id=98427</v>
      </c>
      <c r="B2270" s="2" t="s">
        <v>6163</v>
      </c>
      <c r="C2270" s="2" t="s">
        <v>6161</v>
      </c>
      <c r="D2270" s="2" t="s">
        <v>6162</v>
      </c>
      <c r="E2270" s="2" t="s">
        <v>6164</v>
      </c>
      <c r="F2270" s="2" t="s">
        <v>16</v>
      </c>
      <c r="G2270" s="2" t="s">
        <v>1091</v>
      </c>
      <c r="H2270" s="2"/>
      <c r="I2270" s="2"/>
      <c r="J2270" s="2" t="s">
        <v>19</v>
      </c>
      <c r="K2270" s="2"/>
      <c r="L2270" s="2" t="s">
        <v>893</v>
      </c>
    </row>
    <row r="2271" customFormat="false" ht="13.35" hidden="false" customHeight="true" outlineLevel="0" collapsed="false">
      <c r="A2271" s="5" t="str">
        <f aca="false">HYPERLINK("https://www.fabsurplus.com/sdi_catalog/salesItemDetails.do?id=101355")</f>
        <v>https://www.fabsurplus.com/sdi_catalog/salesItemDetails.do?id=101355</v>
      </c>
      <c r="B2271" s="5" t="s">
        <v>6165</v>
      </c>
      <c r="C2271" s="5" t="s">
        <v>6161</v>
      </c>
      <c r="D2271" s="5" t="s">
        <v>6166</v>
      </c>
      <c r="E2271" s="5" t="s">
        <v>6054</v>
      </c>
      <c r="F2271" s="5" t="s">
        <v>16</v>
      </c>
      <c r="G2271" s="5" t="s">
        <v>2640</v>
      </c>
      <c r="H2271" s="5"/>
      <c r="I2271" s="5"/>
      <c r="J2271" s="5" t="s">
        <v>19</v>
      </c>
      <c r="K2271" s="5"/>
      <c r="L2271" s="5"/>
    </row>
    <row r="2272" customFormat="false" ht="13.35" hidden="false" customHeight="true" outlineLevel="0" collapsed="false">
      <c r="A2272" s="2" t="str">
        <f aca="false">HYPERLINK("https://www.fabsurplus.com/sdi_catalog/salesItemDetails.do?id=87469")</f>
        <v>https://www.fabsurplus.com/sdi_catalog/salesItemDetails.do?id=87469</v>
      </c>
      <c r="B2272" s="2" t="s">
        <v>6167</v>
      </c>
      <c r="C2272" s="2" t="s">
        <v>6168</v>
      </c>
      <c r="D2272" s="2" t="s">
        <v>6169</v>
      </c>
      <c r="E2272" s="2" t="s">
        <v>6170</v>
      </c>
      <c r="F2272" s="2" t="s">
        <v>16</v>
      </c>
      <c r="G2272" s="2" t="s">
        <v>107</v>
      </c>
      <c r="H2272" s="2" t="s">
        <v>18</v>
      </c>
      <c r="I2272" s="3" t="n">
        <v>35704</v>
      </c>
      <c r="J2272" s="2" t="s">
        <v>19</v>
      </c>
      <c r="K2272" s="2" t="s">
        <v>20</v>
      </c>
      <c r="L2272" s="4" t="s">
        <v>6171</v>
      </c>
    </row>
    <row r="2273" customFormat="false" ht="13.35" hidden="false" customHeight="true" outlineLevel="0" collapsed="false">
      <c r="A2273" s="2" t="str">
        <f aca="false">HYPERLINK("https://www.fabsurplus.com/sdi_catalog/salesItemDetails.do?id=87470")</f>
        <v>https://www.fabsurplus.com/sdi_catalog/salesItemDetails.do?id=87470</v>
      </c>
      <c r="B2273" s="2" t="s">
        <v>6172</v>
      </c>
      <c r="C2273" s="2" t="s">
        <v>6168</v>
      </c>
      <c r="D2273" s="2" t="s">
        <v>6173</v>
      </c>
      <c r="E2273" s="2" t="s">
        <v>6174</v>
      </c>
      <c r="F2273" s="2" t="s">
        <v>16</v>
      </c>
      <c r="G2273" s="2"/>
      <c r="H2273" s="2"/>
      <c r="I2273" s="2"/>
      <c r="J2273" s="2" t="s">
        <v>19</v>
      </c>
      <c r="K2273" s="2"/>
      <c r="L2273" s="2"/>
    </row>
    <row r="2274" customFormat="false" ht="13.35" hidden="false" customHeight="true" outlineLevel="0" collapsed="false">
      <c r="A2274" s="2" t="str">
        <f aca="false">HYPERLINK("https://www.fabsurplus.com/sdi_catalog/salesItemDetails.do?id=102895")</f>
        <v>https://www.fabsurplus.com/sdi_catalog/salesItemDetails.do?id=102895</v>
      </c>
      <c r="B2274" s="2" t="s">
        <v>6175</v>
      </c>
      <c r="C2274" s="2" t="s">
        <v>6176</v>
      </c>
      <c r="D2274" s="2" t="s">
        <v>6177</v>
      </c>
      <c r="E2274" s="2" t="s">
        <v>5003</v>
      </c>
      <c r="F2274" s="2" t="s">
        <v>16</v>
      </c>
      <c r="G2274" s="2" t="s">
        <v>36</v>
      </c>
      <c r="H2274" s="2"/>
      <c r="I2274" s="3" t="n">
        <v>35217</v>
      </c>
      <c r="J2274" s="2" t="s">
        <v>19</v>
      </c>
      <c r="K2274" s="2"/>
      <c r="L2274" s="2" t="s">
        <v>4999</v>
      </c>
    </row>
    <row r="2275" customFormat="false" ht="13.35" hidden="false" customHeight="true" outlineLevel="0" collapsed="false">
      <c r="A2275" s="5" t="str">
        <f aca="false">HYPERLINK("https://www.fabsurplus.com/sdi_catalog/salesItemDetails.do?id=102896")</f>
        <v>https://www.fabsurplus.com/sdi_catalog/salesItemDetails.do?id=102896</v>
      </c>
      <c r="B2275" s="5" t="s">
        <v>6178</v>
      </c>
      <c r="C2275" s="5" t="s">
        <v>6176</v>
      </c>
      <c r="D2275" s="5" t="s">
        <v>6179</v>
      </c>
      <c r="E2275" s="5" t="s">
        <v>5003</v>
      </c>
      <c r="F2275" s="5" t="s">
        <v>16</v>
      </c>
      <c r="G2275" s="5" t="s">
        <v>36</v>
      </c>
      <c r="H2275" s="5"/>
      <c r="I2275" s="6" t="n">
        <v>35582</v>
      </c>
      <c r="J2275" s="5" t="s">
        <v>19</v>
      </c>
      <c r="K2275" s="5"/>
      <c r="L2275" s="5" t="s">
        <v>6180</v>
      </c>
    </row>
    <row r="2276" customFormat="false" ht="13.35" hidden="false" customHeight="true" outlineLevel="0" collapsed="false">
      <c r="A2276" s="5" t="str">
        <f aca="false">HYPERLINK("https://www.fabsurplus.com/sdi_catalog/salesItemDetails.do?id=87471")</f>
        <v>https://www.fabsurplus.com/sdi_catalog/salesItemDetails.do?id=87471</v>
      </c>
      <c r="B2276" s="5" t="s">
        <v>6181</v>
      </c>
      <c r="C2276" s="5" t="s">
        <v>6168</v>
      </c>
      <c r="D2276" s="5" t="s">
        <v>6182</v>
      </c>
      <c r="E2276" s="5" t="s">
        <v>6174</v>
      </c>
      <c r="F2276" s="5" t="s">
        <v>16</v>
      </c>
      <c r="G2276" s="5" t="s">
        <v>107</v>
      </c>
      <c r="H2276" s="5" t="s">
        <v>18</v>
      </c>
      <c r="I2276" s="6" t="n">
        <v>35704</v>
      </c>
      <c r="J2276" s="5" t="s">
        <v>47</v>
      </c>
      <c r="K2276" s="5" t="s">
        <v>20</v>
      </c>
      <c r="L2276" s="7" t="s">
        <v>6183</v>
      </c>
    </row>
    <row r="2277" customFormat="false" ht="13.35" hidden="false" customHeight="true" outlineLevel="0" collapsed="false">
      <c r="A2277" s="2" t="str">
        <f aca="false">HYPERLINK("https://www.fabsurplus.com/sdi_catalog/salesItemDetails.do?id=101857")</f>
        <v>https://www.fabsurplus.com/sdi_catalog/salesItemDetails.do?id=101857</v>
      </c>
      <c r="B2277" s="2" t="s">
        <v>6184</v>
      </c>
      <c r="C2277" s="2" t="s">
        <v>6185</v>
      </c>
      <c r="D2277" s="2" t="s">
        <v>6186</v>
      </c>
      <c r="E2277" s="2" t="s">
        <v>6187</v>
      </c>
      <c r="F2277" s="2" t="s">
        <v>16</v>
      </c>
      <c r="G2277" s="2" t="s">
        <v>493</v>
      </c>
      <c r="H2277" s="2" t="s">
        <v>26</v>
      </c>
      <c r="I2277" s="3" t="n">
        <v>41883</v>
      </c>
      <c r="J2277" s="2" t="s">
        <v>19</v>
      </c>
      <c r="K2277" s="2" t="s">
        <v>20</v>
      </c>
      <c r="L2277" s="4" t="s">
        <v>6188</v>
      </c>
    </row>
    <row r="2278" customFormat="false" ht="13.35" hidden="false" customHeight="true" outlineLevel="0" collapsed="false">
      <c r="A2278" s="2" t="str">
        <f aca="false">HYPERLINK("https://www.fabsurplus.com/sdi_catalog/salesItemDetails.do?id=103120")</f>
        <v>https://www.fabsurplus.com/sdi_catalog/salesItemDetails.do?id=103120</v>
      </c>
      <c r="B2278" s="2" t="s">
        <v>6189</v>
      </c>
      <c r="C2278" s="2" t="s">
        <v>6190</v>
      </c>
      <c r="D2278" s="2" t="s">
        <v>6191</v>
      </c>
      <c r="E2278" s="2" t="s">
        <v>6192</v>
      </c>
      <c r="F2278" s="2" t="s">
        <v>16</v>
      </c>
      <c r="G2278" s="2" t="s">
        <v>160</v>
      </c>
      <c r="H2278" s="2"/>
      <c r="I2278" s="3" t="n">
        <v>41791</v>
      </c>
      <c r="J2278" s="2" t="s">
        <v>19</v>
      </c>
      <c r="K2278" s="2"/>
      <c r="L2278" s="4" t="s">
        <v>6193</v>
      </c>
    </row>
    <row r="2279" customFormat="false" ht="13.35" hidden="false" customHeight="true" outlineLevel="0" collapsed="false">
      <c r="A2279" s="5" t="str">
        <f aca="false">HYPERLINK("https://www.fabsurplus.com/sdi_catalog/salesItemDetails.do?id=103121")</f>
        <v>https://www.fabsurplus.com/sdi_catalog/salesItemDetails.do?id=103121</v>
      </c>
      <c r="B2279" s="5" t="s">
        <v>6194</v>
      </c>
      <c r="C2279" s="5" t="s">
        <v>6190</v>
      </c>
      <c r="D2279" s="5" t="s">
        <v>6191</v>
      </c>
      <c r="E2279" s="5" t="s">
        <v>6192</v>
      </c>
      <c r="F2279" s="5" t="s">
        <v>16</v>
      </c>
      <c r="G2279" s="5" t="s">
        <v>160</v>
      </c>
      <c r="H2279" s="5"/>
      <c r="I2279" s="6" t="n">
        <v>41791</v>
      </c>
      <c r="J2279" s="5" t="s">
        <v>19</v>
      </c>
      <c r="K2279" s="5"/>
      <c r="L2279" s="7" t="s">
        <v>6193</v>
      </c>
    </row>
    <row r="2280" customFormat="false" ht="13.35" hidden="false" customHeight="true" outlineLevel="0" collapsed="false">
      <c r="A2280" s="2" t="str">
        <f aca="false">HYPERLINK("https://www.fabsurplus.com/sdi_catalog/salesItemDetails.do?id=103122")</f>
        <v>https://www.fabsurplus.com/sdi_catalog/salesItemDetails.do?id=103122</v>
      </c>
      <c r="B2280" s="2" t="s">
        <v>6195</v>
      </c>
      <c r="C2280" s="2" t="s">
        <v>6190</v>
      </c>
      <c r="D2280" s="2" t="s">
        <v>6191</v>
      </c>
      <c r="E2280" s="2" t="s">
        <v>6192</v>
      </c>
      <c r="F2280" s="2" t="s">
        <v>16</v>
      </c>
      <c r="G2280" s="2" t="s">
        <v>160</v>
      </c>
      <c r="H2280" s="2"/>
      <c r="I2280" s="3" t="n">
        <v>41791</v>
      </c>
      <c r="J2280" s="2" t="s">
        <v>19</v>
      </c>
      <c r="K2280" s="2"/>
      <c r="L2280" s="4" t="s">
        <v>6193</v>
      </c>
    </row>
    <row r="2281" customFormat="false" ht="13.35" hidden="false" customHeight="true" outlineLevel="0" collapsed="false">
      <c r="A2281" s="5" t="str">
        <f aca="false">HYPERLINK("https://www.fabsurplus.com/sdi_catalog/salesItemDetails.do?id=103123")</f>
        <v>https://www.fabsurplus.com/sdi_catalog/salesItemDetails.do?id=103123</v>
      </c>
      <c r="B2281" s="5" t="s">
        <v>6196</v>
      </c>
      <c r="C2281" s="5" t="s">
        <v>6190</v>
      </c>
      <c r="D2281" s="5" t="s">
        <v>6191</v>
      </c>
      <c r="E2281" s="5" t="s">
        <v>6192</v>
      </c>
      <c r="F2281" s="5" t="s">
        <v>16</v>
      </c>
      <c r="G2281" s="5" t="s">
        <v>160</v>
      </c>
      <c r="H2281" s="5"/>
      <c r="I2281" s="6" t="n">
        <v>41791</v>
      </c>
      <c r="J2281" s="5" t="s">
        <v>19</v>
      </c>
      <c r="K2281" s="5"/>
      <c r="L2281" s="7" t="s">
        <v>6197</v>
      </c>
    </row>
    <row r="2282" customFormat="false" ht="13.35" hidden="false" customHeight="true" outlineLevel="0" collapsed="false">
      <c r="A2282" s="2" t="str">
        <f aca="false">HYPERLINK("https://www.fabsurplus.com/sdi_catalog/salesItemDetails.do?id=103124")</f>
        <v>https://www.fabsurplus.com/sdi_catalog/salesItemDetails.do?id=103124</v>
      </c>
      <c r="B2282" s="2" t="s">
        <v>6198</v>
      </c>
      <c r="C2282" s="2" t="s">
        <v>6190</v>
      </c>
      <c r="D2282" s="2" t="s">
        <v>6191</v>
      </c>
      <c r="E2282" s="2" t="s">
        <v>6192</v>
      </c>
      <c r="F2282" s="2" t="s">
        <v>16</v>
      </c>
      <c r="G2282" s="2" t="s">
        <v>160</v>
      </c>
      <c r="H2282" s="2"/>
      <c r="I2282" s="3" t="n">
        <v>41791</v>
      </c>
      <c r="J2282" s="2" t="s">
        <v>19</v>
      </c>
      <c r="K2282" s="2"/>
      <c r="L2282" s="4" t="s">
        <v>6193</v>
      </c>
    </row>
    <row r="2283" customFormat="false" ht="13.35" hidden="false" customHeight="true" outlineLevel="0" collapsed="false">
      <c r="A2283" s="5" t="str">
        <f aca="false">HYPERLINK("https://www.fabsurplus.com/sdi_catalog/salesItemDetails.do?id=103125")</f>
        <v>https://www.fabsurplus.com/sdi_catalog/salesItemDetails.do?id=103125</v>
      </c>
      <c r="B2283" s="5" t="s">
        <v>6199</v>
      </c>
      <c r="C2283" s="5" t="s">
        <v>6190</v>
      </c>
      <c r="D2283" s="5" t="s">
        <v>6191</v>
      </c>
      <c r="E2283" s="5" t="s">
        <v>6192</v>
      </c>
      <c r="F2283" s="5" t="s">
        <v>16</v>
      </c>
      <c r="G2283" s="5" t="s">
        <v>160</v>
      </c>
      <c r="H2283" s="5"/>
      <c r="I2283" s="6" t="n">
        <v>41791</v>
      </c>
      <c r="J2283" s="5" t="s">
        <v>19</v>
      </c>
      <c r="K2283" s="5"/>
      <c r="L2283" s="7" t="s">
        <v>6193</v>
      </c>
    </row>
    <row r="2284" customFormat="false" ht="13.35" hidden="false" customHeight="true" outlineLevel="0" collapsed="false">
      <c r="A2284" s="5" t="str">
        <f aca="false">HYPERLINK("https://www.fabsurplus.com/sdi_catalog/salesItemDetails.do?id=102789")</f>
        <v>https://www.fabsurplus.com/sdi_catalog/salesItemDetails.do?id=102789</v>
      </c>
      <c r="B2284" s="5" t="s">
        <v>6200</v>
      </c>
      <c r="C2284" s="5" t="s">
        <v>6190</v>
      </c>
      <c r="D2284" s="5" t="s">
        <v>6201</v>
      </c>
      <c r="E2284" s="5" t="s">
        <v>2183</v>
      </c>
      <c r="F2284" s="5" t="s">
        <v>16</v>
      </c>
      <c r="G2284" s="5" t="s">
        <v>160</v>
      </c>
      <c r="H2284" s="5"/>
      <c r="I2284" s="6" t="n">
        <v>42887</v>
      </c>
      <c r="J2284" s="5" t="s">
        <v>19</v>
      </c>
      <c r="K2284" s="5"/>
      <c r="L2284" s="7" t="s">
        <v>6202</v>
      </c>
    </row>
    <row r="2285" customFormat="false" ht="13.35" hidden="false" customHeight="true" outlineLevel="0" collapsed="false">
      <c r="A2285" s="2" t="str">
        <f aca="false">HYPERLINK("https://www.fabsurplus.com/sdi_catalog/salesItemDetails.do?id=102790")</f>
        <v>https://www.fabsurplus.com/sdi_catalog/salesItemDetails.do?id=102790</v>
      </c>
      <c r="B2285" s="2" t="s">
        <v>6203</v>
      </c>
      <c r="C2285" s="2" t="s">
        <v>6190</v>
      </c>
      <c r="D2285" s="2" t="s">
        <v>6201</v>
      </c>
      <c r="E2285" s="2" t="s">
        <v>2183</v>
      </c>
      <c r="F2285" s="2" t="s">
        <v>16</v>
      </c>
      <c r="G2285" s="2" t="s">
        <v>160</v>
      </c>
      <c r="H2285" s="2"/>
      <c r="I2285" s="3" t="n">
        <v>42887</v>
      </c>
      <c r="J2285" s="2" t="s">
        <v>19</v>
      </c>
      <c r="K2285" s="2"/>
      <c r="L2285" s="4" t="s">
        <v>6204</v>
      </c>
    </row>
    <row r="2286" customFormat="false" ht="13.35" hidden="false" customHeight="true" outlineLevel="0" collapsed="false">
      <c r="A2286" s="5" t="str">
        <f aca="false">HYPERLINK("https://www.fabsurplus.com/sdi_catalog/salesItemDetails.do?id=102791")</f>
        <v>https://www.fabsurplus.com/sdi_catalog/salesItemDetails.do?id=102791</v>
      </c>
      <c r="B2286" s="5" t="s">
        <v>6205</v>
      </c>
      <c r="C2286" s="5" t="s">
        <v>6190</v>
      </c>
      <c r="D2286" s="5" t="s">
        <v>6201</v>
      </c>
      <c r="E2286" s="5" t="s">
        <v>2183</v>
      </c>
      <c r="F2286" s="5" t="s">
        <v>16</v>
      </c>
      <c r="G2286" s="5" t="s">
        <v>160</v>
      </c>
      <c r="H2286" s="5"/>
      <c r="I2286" s="6" t="n">
        <v>42887</v>
      </c>
      <c r="J2286" s="5" t="s">
        <v>19</v>
      </c>
      <c r="K2286" s="5"/>
      <c r="L2286" s="7" t="s">
        <v>6206</v>
      </c>
    </row>
    <row r="2287" customFormat="false" ht="13.35" hidden="false" customHeight="true" outlineLevel="0" collapsed="false">
      <c r="A2287" s="2" t="str">
        <f aca="false">HYPERLINK("https://www.fabsurplus.com/sdi_catalog/salesItemDetails.do?id=102792")</f>
        <v>https://www.fabsurplus.com/sdi_catalog/salesItemDetails.do?id=102792</v>
      </c>
      <c r="B2287" s="2" t="s">
        <v>6207</v>
      </c>
      <c r="C2287" s="2" t="s">
        <v>6190</v>
      </c>
      <c r="D2287" s="2" t="s">
        <v>6201</v>
      </c>
      <c r="E2287" s="2" t="s">
        <v>2183</v>
      </c>
      <c r="F2287" s="2" t="s">
        <v>16</v>
      </c>
      <c r="G2287" s="2" t="s">
        <v>160</v>
      </c>
      <c r="H2287" s="2"/>
      <c r="I2287" s="3" t="n">
        <v>42887</v>
      </c>
      <c r="J2287" s="2" t="s">
        <v>19</v>
      </c>
      <c r="K2287" s="2"/>
      <c r="L2287" s="4" t="s">
        <v>6208</v>
      </c>
    </row>
    <row r="2288" customFormat="false" ht="13.35" hidden="false" customHeight="true" outlineLevel="0" collapsed="false">
      <c r="A2288" s="5" t="str">
        <f aca="false">HYPERLINK("https://www.fabsurplus.com/sdi_catalog/salesItemDetails.do?id=102793")</f>
        <v>https://www.fabsurplus.com/sdi_catalog/salesItemDetails.do?id=102793</v>
      </c>
      <c r="B2288" s="5" t="s">
        <v>6209</v>
      </c>
      <c r="C2288" s="5" t="s">
        <v>6190</v>
      </c>
      <c r="D2288" s="5" t="s">
        <v>6201</v>
      </c>
      <c r="E2288" s="5" t="s">
        <v>2183</v>
      </c>
      <c r="F2288" s="5" t="s">
        <v>16</v>
      </c>
      <c r="G2288" s="5" t="s">
        <v>160</v>
      </c>
      <c r="H2288" s="5"/>
      <c r="I2288" s="6" t="n">
        <v>42887</v>
      </c>
      <c r="J2288" s="5" t="s">
        <v>19</v>
      </c>
      <c r="K2288" s="5"/>
      <c r="L2288" s="7" t="s">
        <v>6210</v>
      </c>
    </row>
    <row r="2289" customFormat="false" ht="13.35" hidden="false" customHeight="true" outlineLevel="0" collapsed="false">
      <c r="A2289" s="2" t="str">
        <f aca="false">HYPERLINK("https://www.fabsurplus.com/sdi_catalog/salesItemDetails.do?id=102794")</f>
        <v>https://www.fabsurplus.com/sdi_catalog/salesItemDetails.do?id=102794</v>
      </c>
      <c r="B2289" s="2" t="s">
        <v>6211</v>
      </c>
      <c r="C2289" s="2" t="s">
        <v>6190</v>
      </c>
      <c r="D2289" s="2" t="s">
        <v>6201</v>
      </c>
      <c r="E2289" s="2" t="s">
        <v>2183</v>
      </c>
      <c r="F2289" s="2" t="s">
        <v>16</v>
      </c>
      <c r="G2289" s="2" t="s">
        <v>160</v>
      </c>
      <c r="H2289" s="2"/>
      <c r="I2289" s="3" t="n">
        <v>42887</v>
      </c>
      <c r="J2289" s="2" t="s">
        <v>19</v>
      </c>
      <c r="K2289" s="2"/>
      <c r="L2289" s="4" t="s">
        <v>6212</v>
      </c>
    </row>
    <row r="2290" customFormat="false" ht="13.35" hidden="false" customHeight="true" outlineLevel="0" collapsed="false">
      <c r="A2290" s="5" t="str">
        <f aca="false">HYPERLINK("https://www.fabsurplus.com/sdi_catalog/salesItemDetails.do?id=102795")</f>
        <v>https://www.fabsurplus.com/sdi_catalog/salesItemDetails.do?id=102795</v>
      </c>
      <c r="B2290" s="5" t="s">
        <v>6213</v>
      </c>
      <c r="C2290" s="5" t="s">
        <v>6190</v>
      </c>
      <c r="D2290" s="5" t="s">
        <v>6201</v>
      </c>
      <c r="E2290" s="5" t="s">
        <v>2183</v>
      </c>
      <c r="F2290" s="5" t="s">
        <v>16</v>
      </c>
      <c r="G2290" s="5" t="s">
        <v>160</v>
      </c>
      <c r="H2290" s="5"/>
      <c r="I2290" s="6" t="n">
        <v>42887</v>
      </c>
      <c r="J2290" s="5" t="s">
        <v>19</v>
      </c>
      <c r="K2290" s="5"/>
      <c r="L2290" s="7" t="s">
        <v>6214</v>
      </c>
    </row>
    <row r="2291" customFormat="false" ht="13.35" hidden="false" customHeight="true" outlineLevel="0" collapsed="false">
      <c r="A2291" s="2" t="str">
        <f aca="false">HYPERLINK("https://www.fabsurplus.com/sdi_catalog/salesItemDetails.do?id=103126")</f>
        <v>https://www.fabsurplus.com/sdi_catalog/salesItemDetails.do?id=103126</v>
      </c>
      <c r="B2291" s="2" t="s">
        <v>6215</v>
      </c>
      <c r="C2291" s="2" t="s">
        <v>6190</v>
      </c>
      <c r="D2291" s="2" t="s">
        <v>6201</v>
      </c>
      <c r="E2291" s="2" t="s">
        <v>6192</v>
      </c>
      <c r="F2291" s="2" t="s">
        <v>16</v>
      </c>
      <c r="G2291" s="2" t="s">
        <v>160</v>
      </c>
      <c r="H2291" s="2"/>
      <c r="I2291" s="3" t="n">
        <v>42887</v>
      </c>
      <c r="J2291" s="2" t="s">
        <v>19</v>
      </c>
      <c r="K2291" s="2"/>
      <c r="L2291" s="4" t="s">
        <v>6216</v>
      </c>
    </row>
    <row r="2292" customFormat="false" ht="13.35" hidden="false" customHeight="true" outlineLevel="0" collapsed="false">
      <c r="A2292" s="5" t="str">
        <f aca="false">HYPERLINK("https://www.fabsurplus.com/sdi_catalog/salesItemDetails.do?id=103127")</f>
        <v>https://www.fabsurplus.com/sdi_catalog/salesItemDetails.do?id=103127</v>
      </c>
      <c r="B2292" s="5" t="s">
        <v>6217</v>
      </c>
      <c r="C2292" s="5" t="s">
        <v>6190</v>
      </c>
      <c r="D2292" s="5" t="s">
        <v>6201</v>
      </c>
      <c r="E2292" s="5" t="s">
        <v>6192</v>
      </c>
      <c r="F2292" s="5" t="s">
        <v>16</v>
      </c>
      <c r="G2292" s="5" t="s">
        <v>160</v>
      </c>
      <c r="H2292" s="5"/>
      <c r="I2292" s="6" t="n">
        <v>42887</v>
      </c>
      <c r="J2292" s="5" t="s">
        <v>19</v>
      </c>
      <c r="K2292" s="5"/>
      <c r="L2292" s="7" t="s">
        <v>6218</v>
      </c>
    </row>
    <row r="2293" customFormat="false" ht="13.35" hidden="false" customHeight="true" outlineLevel="0" collapsed="false">
      <c r="A2293" s="2" t="str">
        <f aca="false">HYPERLINK("https://www.fabsurplus.com/sdi_catalog/salesItemDetails.do?id=103128")</f>
        <v>https://www.fabsurplus.com/sdi_catalog/salesItemDetails.do?id=103128</v>
      </c>
      <c r="B2293" s="2" t="s">
        <v>6219</v>
      </c>
      <c r="C2293" s="2" t="s">
        <v>6190</v>
      </c>
      <c r="D2293" s="2" t="s">
        <v>6201</v>
      </c>
      <c r="E2293" s="2" t="s">
        <v>6192</v>
      </c>
      <c r="F2293" s="2" t="s">
        <v>16</v>
      </c>
      <c r="G2293" s="2" t="s">
        <v>160</v>
      </c>
      <c r="H2293" s="2"/>
      <c r="I2293" s="3" t="n">
        <v>42887</v>
      </c>
      <c r="J2293" s="2" t="s">
        <v>19</v>
      </c>
      <c r="K2293" s="2"/>
      <c r="L2293" s="4" t="s">
        <v>6218</v>
      </c>
    </row>
    <row r="2294" customFormat="false" ht="13.35" hidden="false" customHeight="true" outlineLevel="0" collapsed="false">
      <c r="A2294" s="2" t="str">
        <f aca="false">HYPERLINK("https://www.fabsurplus.com/sdi_catalog/salesItemDetails.do?id=102796")</f>
        <v>https://www.fabsurplus.com/sdi_catalog/salesItemDetails.do?id=102796</v>
      </c>
      <c r="B2294" s="2" t="s">
        <v>6220</v>
      </c>
      <c r="C2294" s="2" t="s">
        <v>6221</v>
      </c>
      <c r="D2294" s="2" t="s">
        <v>6222</v>
      </c>
      <c r="E2294" s="2" t="s">
        <v>6223</v>
      </c>
      <c r="F2294" s="2" t="s">
        <v>16</v>
      </c>
      <c r="G2294" s="2" t="s">
        <v>160</v>
      </c>
      <c r="H2294" s="2"/>
      <c r="I2294" s="3" t="n">
        <v>42887</v>
      </c>
      <c r="J2294" s="2" t="s">
        <v>19</v>
      </c>
      <c r="K2294" s="2"/>
      <c r="L2294" s="4" t="s">
        <v>6224</v>
      </c>
    </row>
    <row r="2295" customFormat="false" ht="13.35" hidden="false" customHeight="true" outlineLevel="0" collapsed="false">
      <c r="A2295" s="2" t="str">
        <f aca="false">HYPERLINK("https://www.fabsurplus.com/sdi_catalog/salesItemDetails.do?id=103184")</f>
        <v>https://www.fabsurplus.com/sdi_catalog/salesItemDetails.do?id=103184</v>
      </c>
      <c r="B2295" s="2" t="s">
        <v>6225</v>
      </c>
      <c r="C2295" s="2" t="s">
        <v>6226</v>
      </c>
      <c r="D2295" s="2" t="s">
        <v>6227</v>
      </c>
      <c r="E2295" s="2" t="s">
        <v>4420</v>
      </c>
      <c r="F2295" s="2" t="s">
        <v>16</v>
      </c>
      <c r="G2295" s="2" t="s">
        <v>499</v>
      </c>
      <c r="H2295" s="2"/>
      <c r="I2295" s="3" t="n">
        <v>40330</v>
      </c>
      <c r="J2295" s="2" t="s">
        <v>19</v>
      </c>
      <c r="K2295" s="2"/>
      <c r="L2295" s="4" t="s">
        <v>6228</v>
      </c>
    </row>
    <row r="2296" customFormat="false" ht="13.35" hidden="false" customHeight="true" outlineLevel="0" collapsed="false">
      <c r="A2296" s="2" t="str">
        <f aca="false">HYPERLINK("https://www.fabsurplus.com/sdi_catalog/salesItemDetails.do?id=101356")</f>
        <v>https://www.fabsurplus.com/sdi_catalog/salesItemDetails.do?id=101356</v>
      </c>
      <c r="B2296" s="2" t="s">
        <v>6229</v>
      </c>
      <c r="C2296" s="2" t="s">
        <v>6230</v>
      </c>
      <c r="D2296" s="2" t="s">
        <v>6231</v>
      </c>
      <c r="E2296" s="2" t="s">
        <v>6232</v>
      </c>
      <c r="F2296" s="2" t="s">
        <v>16</v>
      </c>
      <c r="G2296" s="2" t="s">
        <v>2640</v>
      </c>
      <c r="H2296" s="2"/>
      <c r="I2296" s="2"/>
      <c r="J2296" s="2" t="s">
        <v>19</v>
      </c>
      <c r="K2296" s="2"/>
      <c r="L2296" s="2"/>
    </row>
    <row r="2297" customFormat="false" ht="13.35" hidden="false" customHeight="true" outlineLevel="0" collapsed="false">
      <c r="A2297" s="5" t="str">
        <f aca="false">HYPERLINK("https://www.fabsurplus.com/sdi_catalog/salesItemDetails.do?id=97879")</f>
        <v>https://www.fabsurplus.com/sdi_catalog/salesItemDetails.do?id=97879</v>
      </c>
      <c r="B2297" s="5" t="s">
        <v>6233</v>
      </c>
      <c r="C2297" s="5" t="s">
        <v>6234</v>
      </c>
      <c r="D2297" s="5" t="s">
        <v>6235</v>
      </c>
      <c r="E2297" s="5" t="s">
        <v>6236</v>
      </c>
      <c r="F2297" s="5" t="s">
        <v>16</v>
      </c>
      <c r="G2297" s="5"/>
      <c r="H2297" s="5"/>
      <c r="I2297" s="5"/>
      <c r="J2297" s="5" t="s">
        <v>19</v>
      </c>
      <c r="K2297" s="5"/>
      <c r="L2297" s="5"/>
    </row>
    <row r="2298" customFormat="false" ht="13.35" hidden="false" customHeight="true" outlineLevel="0" collapsed="false">
      <c r="A2298" s="5" t="str">
        <f aca="false">HYPERLINK("https://www.fabsurplus.com/sdi_catalog/salesItemDetails.do?id=61198")</f>
        <v>https://www.fabsurplus.com/sdi_catalog/salesItemDetails.do?id=61198</v>
      </c>
      <c r="B2298" s="5" t="s">
        <v>6237</v>
      </c>
      <c r="C2298" s="5" t="s">
        <v>6238</v>
      </c>
      <c r="D2298" s="5" t="s">
        <v>6239</v>
      </c>
      <c r="E2298" s="5" t="s">
        <v>6236</v>
      </c>
      <c r="F2298" s="5" t="s">
        <v>16</v>
      </c>
      <c r="G2298" s="5"/>
      <c r="H2298" s="5"/>
      <c r="I2298" s="5"/>
      <c r="J2298" s="5" t="s">
        <v>19</v>
      </c>
      <c r="K2298" s="5"/>
      <c r="L2298" s="5"/>
    </row>
    <row r="2299" customFormat="false" ht="13.35" hidden="false" customHeight="true" outlineLevel="0" collapsed="false">
      <c r="A2299" s="2" t="str">
        <f aca="false">HYPERLINK("https://www.fabsurplus.com/sdi_catalog/salesItemDetails.do?id=97880")</f>
        <v>https://www.fabsurplus.com/sdi_catalog/salesItemDetails.do?id=97880</v>
      </c>
      <c r="B2299" s="2" t="s">
        <v>6240</v>
      </c>
      <c r="C2299" s="2" t="s">
        <v>6234</v>
      </c>
      <c r="D2299" s="2" t="s">
        <v>6241</v>
      </c>
      <c r="E2299" s="2" t="s">
        <v>6236</v>
      </c>
      <c r="F2299" s="2" t="s">
        <v>16</v>
      </c>
      <c r="G2299" s="2"/>
      <c r="H2299" s="2"/>
      <c r="I2299" s="2"/>
      <c r="J2299" s="2" t="s">
        <v>19</v>
      </c>
      <c r="K2299" s="2"/>
      <c r="L2299" s="2"/>
    </row>
    <row r="2300" customFormat="false" ht="13.35" hidden="false" customHeight="true" outlineLevel="0" collapsed="false">
      <c r="A2300" s="5" t="str">
        <f aca="false">HYPERLINK("https://www.fabsurplus.com/sdi_catalog/salesItemDetails.do?id=97881")</f>
        <v>https://www.fabsurplus.com/sdi_catalog/salesItemDetails.do?id=97881</v>
      </c>
      <c r="B2300" s="5" t="s">
        <v>6242</v>
      </c>
      <c r="C2300" s="5" t="s">
        <v>6234</v>
      </c>
      <c r="D2300" s="5" t="s">
        <v>6243</v>
      </c>
      <c r="E2300" s="5" t="s">
        <v>6236</v>
      </c>
      <c r="F2300" s="5" t="s">
        <v>16</v>
      </c>
      <c r="G2300" s="5"/>
      <c r="H2300" s="5"/>
      <c r="I2300" s="5"/>
      <c r="J2300" s="5" t="s">
        <v>19</v>
      </c>
      <c r="K2300" s="5"/>
      <c r="L2300" s="5"/>
    </row>
    <row r="2301" customFormat="false" ht="13.35" hidden="false" customHeight="true" outlineLevel="0" collapsed="false">
      <c r="A2301" s="2" t="str">
        <f aca="false">HYPERLINK("https://www.fabsurplus.com/sdi_catalog/salesItemDetails.do?id=97882")</f>
        <v>https://www.fabsurplus.com/sdi_catalog/salesItemDetails.do?id=97882</v>
      </c>
      <c r="B2301" s="2" t="s">
        <v>6244</v>
      </c>
      <c r="C2301" s="2" t="s">
        <v>6234</v>
      </c>
      <c r="D2301" s="2" t="s">
        <v>6245</v>
      </c>
      <c r="E2301" s="2" t="s">
        <v>6236</v>
      </c>
      <c r="F2301" s="2" t="s">
        <v>16</v>
      </c>
      <c r="G2301" s="2"/>
      <c r="H2301" s="2"/>
      <c r="I2301" s="2"/>
      <c r="J2301" s="2" t="s">
        <v>19</v>
      </c>
      <c r="K2301" s="2"/>
      <c r="L2301" s="2"/>
    </row>
    <row r="2302" customFormat="false" ht="13.35" hidden="false" customHeight="true" outlineLevel="0" collapsed="false">
      <c r="A2302" s="5" t="str">
        <f aca="false">HYPERLINK("https://www.fabsurplus.com/sdi_catalog/salesItemDetails.do?id=98040")</f>
        <v>https://www.fabsurplus.com/sdi_catalog/salesItemDetails.do?id=98040</v>
      </c>
      <c r="B2302" s="5" t="s">
        <v>6246</v>
      </c>
      <c r="C2302" s="5" t="s">
        <v>6238</v>
      </c>
      <c r="D2302" s="5" t="s">
        <v>6247</v>
      </c>
      <c r="E2302" s="5" t="s">
        <v>6236</v>
      </c>
      <c r="F2302" s="5" t="s">
        <v>16</v>
      </c>
      <c r="G2302" s="5"/>
      <c r="H2302" s="5"/>
      <c r="I2302" s="5"/>
      <c r="J2302" s="5" t="s">
        <v>19</v>
      </c>
      <c r="K2302" s="5"/>
      <c r="L2302" s="5"/>
    </row>
    <row r="2303" customFormat="false" ht="13.35" hidden="false" customHeight="true" outlineLevel="0" collapsed="false">
      <c r="A2303" s="5" t="str">
        <f aca="false">HYPERLINK("https://www.fabsurplus.com/sdi_catalog/salesItemDetails.do?id=97883")</f>
        <v>https://www.fabsurplus.com/sdi_catalog/salesItemDetails.do?id=97883</v>
      </c>
      <c r="B2303" s="5" t="s">
        <v>6248</v>
      </c>
      <c r="C2303" s="5" t="s">
        <v>6234</v>
      </c>
      <c r="D2303" s="5" t="s">
        <v>6249</v>
      </c>
      <c r="E2303" s="5" t="s">
        <v>6236</v>
      </c>
      <c r="F2303" s="5" t="s">
        <v>16</v>
      </c>
      <c r="G2303" s="5"/>
      <c r="H2303" s="5"/>
      <c r="I2303" s="5"/>
      <c r="J2303" s="5" t="s">
        <v>19</v>
      </c>
      <c r="K2303" s="5"/>
      <c r="L2303" s="5"/>
    </row>
    <row r="2304" customFormat="false" ht="13.35" hidden="false" customHeight="true" outlineLevel="0" collapsed="false">
      <c r="A2304" s="2" t="str">
        <f aca="false">HYPERLINK("https://www.fabsurplus.com/sdi_catalog/salesItemDetails.do?id=97884")</f>
        <v>https://www.fabsurplus.com/sdi_catalog/salesItemDetails.do?id=97884</v>
      </c>
      <c r="B2304" s="2" t="s">
        <v>6250</v>
      </c>
      <c r="C2304" s="2" t="s">
        <v>6234</v>
      </c>
      <c r="D2304" s="2" t="s">
        <v>6251</v>
      </c>
      <c r="E2304" s="2" t="s">
        <v>6236</v>
      </c>
      <c r="F2304" s="2" t="s">
        <v>16</v>
      </c>
      <c r="G2304" s="2"/>
      <c r="H2304" s="2"/>
      <c r="I2304" s="2"/>
      <c r="J2304" s="2" t="s">
        <v>19</v>
      </c>
      <c r="K2304" s="2"/>
      <c r="L2304" s="2"/>
    </row>
    <row r="2305" customFormat="false" ht="13.35" hidden="false" customHeight="true" outlineLevel="0" collapsed="false">
      <c r="A2305" s="5" t="str">
        <f aca="false">HYPERLINK("https://www.fabsurplus.com/sdi_catalog/salesItemDetails.do?id=97885")</f>
        <v>https://www.fabsurplus.com/sdi_catalog/salesItemDetails.do?id=97885</v>
      </c>
      <c r="B2305" s="5" t="s">
        <v>6252</v>
      </c>
      <c r="C2305" s="5" t="s">
        <v>6234</v>
      </c>
      <c r="D2305" s="5" t="s">
        <v>6253</v>
      </c>
      <c r="E2305" s="5" t="s">
        <v>6254</v>
      </c>
      <c r="F2305" s="5" t="s">
        <v>16</v>
      </c>
      <c r="G2305" s="5"/>
      <c r="H2305" s="5"/>
      <c r="I2305" s="5"/>
      <c r="J2305" s="5" t="s">
        <v>19</v>
      </c>
      <c r="K2305" s="5"/>
      <c r="L2305" s="5"/>
    </row>
    <row r="2306" customFormat="false" ht="13.35" hidden="false" customHeight="true" outlineLevel="0" collapsed="false">
      <c r="A2306" s="2" t="str">
        <f aca="false">HYPERLINK("https://www.fabsurplus.com/sdi_catalog/salesItemDetails.do?id=97886")</f>
        <v>https://www.fabsurplus.com/sdi_catalog/salesItemDetails.do?id=97886</v>
      </c>
      <c r="B2306" s="2" t="s">
        <v>6255</v>
      </c>
      <c r="C2306" s="2" t="s">
        <v>6234</v>
      </c>
      <c r="D2306" s="2" t="s">
        <v>6253</v>
      </c>
      <c r="E2306" s="2" t="s">
        <v>6254</v>
      </c>
      <c r="F2306" s="2" t="s">
        <v>16</v>
      </c>
      <c r="G2306" s="2"/>
      <c r="H2306" s="2"/>
      <c r="I2306" s="2"/>
      <c r="J2306" s="2" t="s">
        <v>19</v>
      </c>
      <c r="K2306" s="2"/>
      <c r="L2306" s="2"/>
    </row>
    <row r="2307" customFormat="false" ht="13.35" hidden="false" customHeight="true" outlineLevel="0" collapsed="false">
      <c r="A2307" s="2" t="str">
        <f aca="false">HYPERLINK("https://www.fabsurplus.com/sdi_catalog/salesItemDetails.do?id=102647")</f>
        <v>https://www.fabsurplus.com/sdi_catalog/salesItemDetails.do?id=102647</v>
      </c>
      <c r="B2307" s="2" t="s">
        <v>6256</v>
      </c>
      <c r="C2307" s="2" t="s">
        <v>6257</v>
      </c>
      <c r="D2307" s="2" t="s">
        <v>6258</v>
      </c>
      <c r="E2307" s="2" t="s">
        <v>6259</v>
      </c>
      <c r="F2307" s="2" t="s">
        <v>16</v>
      </c>
      <c r="G2307" s="2"/>
      <c r="H2307" s="2" t="s">
        <v>18</v>
      </c>
      <c r="I2307" s="3" t="n">
        <v>39142</v>
      </c>
      <c r="J2307" s="2" t="s">
        <v>19</v>
      </c>
      <c r="K2307" s="2"/>
      <c r="L2307" s="2" t="s">
        <v>1405</v>
      </c>
    </row>
    <row r="2308" customFormat="false" ht="13.35" hidden="false" customHeight="true" outlineLevel="0" collapsed="false">
      <c r="A2308" s="2" t="str">
        <f aca="false">HYPERLINK("https://www.fabsurplus.com/sdi_catalog/salesItemDetails.do?id=92437")</f>
        <v>https://www.fabsurplus.com/sdi_catalog/salesItemDetails.do?id=92437</v>
      </c>
      <c r="B2308" s="2" t="s">
        <v>6260</v>
      </c>
      <c r="C2308" s="2" t="s">
        <v>6261</v>
      </c>
      <c r="D2308" s="2" t="s">
        <v>6262</v>
      </c>
      <c r="E2308" s="2" t="s">
        <v>41</v>
      </c>
      <c r="F2308" s="2" t="s">
        <v>609</v>
      </c>
      <c r="G2308" s="2"/>
      <c r="H2308" s="2"/>
      <c r="I2308" s="2"/>
      <c r="J2308" s="2" t="s">
        <v>47</v>
      </c>
      <c r="K2308" s="2"/>
      <c r="L2308" s="2" t="s">
        <v>48</v>
      </c>
    </row>
    <row r="2309" customFormat="false" ht="13.35" hidden="false" customHeight="true" outlineLevel="0" collapsed="false">
      <c r="A2309" s="5" t="str">
        <f aca="false">HYPERLINK("https://www.fabsurplus.com/sdi_catalog/salesItemDetails.do?id=84543")</f>
        <v>https://www.fabsurplus.com/sdi_catalog/salesItemDetails.do?id=84543</v>
      </c>
      <c r="B2309" s="5" t="s">
        <v>6263</v>
      </c>
      <c r="C2309" s="5" t="s">
        <v>6261</v>
      </c>
      <c r="D2309" s="5" t="s">
        <v>6264</v>
      </c>
      <c r="E2309" s="5" t="s">
        <v>6265</v>
      </c>
      <c r="F2309" s="5" t="s">
        <v>16</v>
      </c>
      <c r="G2309" s="5" t="s">
        <v>17</v>
      </c>
      <c r="H2309" s="5"/>
      <c r="I2309" s="6" t="n">
        <v>38139.0833333333</v>
      </c>
      <c r="J2309" s="5" t="s">
        <v>19</v>
      </c>
      <c r="K2309" s="5"/>
      <c r="L2309" s="5" t="s">
        <v>6266</v>
      </c>
    </row>
    <row r="2310" customFormat="false" ht="13.35" hidden="false" customHeight="true" outlineLevel="0" collapsed="false">
      <c r="A2310" s="5" t="str">
        <f aca="false">HYPERLINK("https://www.fabsurplus.com/sdi_catalog/salesItemDetails.do?id=84544")</f>
        <v>https://www.fabsurplus.com/sdi_catalog/salesItemDetails.do?id=84544</v>
      </c>
      <c r="B2310" s="5" t="s">
        <v>6267</v>
      </c>
      <c r="C2310" s="5" t="s">
        <v>6261</v>
      </c>
      <c r="D2310" s="5" t="s">
        <v>6264</v>
      </c>
      <c r="E2310" s="5" t="s">
        <v>6265</v>
      </c>
      <c r="F2310" s="5" t="s">
        <v>16</v>
      </c>
      <c r="G2310" s="5" t="s">
        <v>17</v>
      </c>
      <c r="H2310" s="5"/>
      <c r="I2310" s="6" t="n">
        <v>38869.0833333333</v>
      </c>
      <c r="J2310" s="5" t="s">
        <v>19</v>
      </c>
      <c r="K2310" s="5"/>
      <c r="L2310" s="5" t="s">
        <v>6266</v>
      </c>
    </row>
    <row r="2311" customFormat="false" ht="13.35" hidden="false" customHeight="true" outlineLevel="0" collapsed="false">
      <c r="A2311" s="5" t="str">
        <f aca="false">HYPERLINK("https://www.fabsurplus.com/sdi_catalog/salesItemDetails.do?id=84545")</f>
        <v>https://www.fabsurplus.com/sdi_catalog/salesItemDetails.do?id=84545</v>
      </c>
      <c r="B2311" s="5" t="s">
        <v>6268</v>
      </c>
      <c r="C2311" s="5" t="s">
        <v>6261</v>
      </c>
      <c r="D2311" s="5" t="s">
        <v>6264</v>
      </c>
      <c r="E2311" s="5" t="s">
        <v>6265</v>
      </c>
      <c r="F2311" s="5" t="s">
        <v>16</v>
      </c>
      <c r="G2311" s="5" t="s">
        <v>17</v>
      </c>
      <c r="H2311" s="5"/>
      <c r="I2311" s="6" t="n">
        <v>38869.0833333333</v>
      </c>
      <c r="J2311" s="5" t="s">
        <v>19</v>
      </c>
      <c r="K2311" s="5"/>
      <c r="L2311" s="5" t="s">
        <v>6266</v>
      </c>
    </row>
    <row r="2312" customFormat="false" ht="13.35" hidden="false" customHeight="true" outlineLevel="0" collapsed="false">
      <c r="A2312" s="5" t="str">
        <f aca="false">HYPERLINK("https://www.fabsurplus.com/sdi_catalog/salesItemDetails.do?id=101604")</f>
        <v>https://www.fabsurplus.com/sdi_catalog/salesItemDetails.do?id=101604</v>
      </c>
      <c r="B2312" s="5" t="s">
        <v>6269</v>
      </c>
      <c r="C2312" s="5" t="s">
        <v>6261</v>
      </c>
      <c r="D2312" s="5" t="s">
        <v>6270</v>
      </c>
      <c r="E2312" s="5" t="s">
        <v>3957</v>
      </c>
      <c r="F2312" s="5" t="s">
        <v>16</v>
      </c>
      <c r="G2312" s="5" t="s">
        <v>36</v>
      </c>
      <c r="H2312" s="5" t="s">
        <v>26</v>
      </c>
      <c r="I2312" s="6" t="n">
        <v>41456</v>
      </c>
      <c r="J2312" s="5" t="s">
        <v>47</v>
      </c>
      <c r="K2312" s="5" t="s">
        <v>20</v>
      </c>
      <c r="L2312" s="5"/>
    </row>
    <row r="2313" customFormat="false" ht="13.35" hidden="false" customHeight="true" outlineLevel="0" collapsed="false">
      <c r="A2313" s="5" t="str">
        <f aca="false">HYPERLINK("https://www.fabsurplus.com/sdi_catalog/salesItemDetails.do?id=93892")</f>
        <v>https://www.fabsurplus.com/sdi_catalog/salesItemDetails.do?id=93892</v>
      </c>
      <c r="B2313" s="5" t="s">
        <v>6271</v>
      </c>
      <c r="C2313" s="5" t="s">
        <v>6261</v>
      </c>
      <c r="D2313" s="5" t="s">
        <v>6272</v>
      </c>
      <c r="E2313" s="5" t="s">
        <v>6273</v>
      </c>
      <c r="F2313" s="5" t="s">
        <v>16</v>
      </c>
      <c r="G2313" s="5" t="s">
        <v>17</v>
      </c>
      <c r="H2313" s="5" t="s">
        <v>26</v>
      </c>
      <c r="I2313" s="5"/>
      <c r="J2313" s="5" t="s">
        <v>19</v>
      </c>
      <c r="K2313" s="5" t="s">
        <v>20</v>
      </c>
      <c r="L2313" s="7" t="s">
        <v>6274</v>
      </c>
    </row>
    <row r="2314" customFormat="false" ht="13.35" hidden="false" customHeight="true" outlineLevel="0" collapsed="false">
      <c r="A2314" s="2" t="str">
        <f aca="false">HYPERLINK("https://www.fabsurplus.com/sdi_catalog/salesItemDetails.do?id=99547")</f>
        <v>https://www.fabsurplus.com/sdi_catalog/salesItemDetails.do?id=99547</v>
      </c>
      <c r="B2314" s="2" t="s">
        <v>6275</v>
      </c>
      <c r="C2314" s="2" t="s">
        <v>6276</v>
      </c>
      <c r="D2314" s="2" t="s">
        <v>6277</v>
      </c>
      <c r="E2314" s="2" t="s">
        <v>6278</v>
      </c>
      <c r="F2314" s="2" t="s">
        <v>16</v>
      </c>
      <c r="G2314" s="2" t="s">
        <v>17</v>
      </c>
      <c r="H2314" s="2" t="s">
        <v>26</v>
      </c>
      <c r="I2314" s="3" t="n">
        <v>37865</v>
      </c>
      <c r="J2314" s="2" t="s">
        <v>19</v>
      </c>
      <c r="K2314" s="2" t="s">
        <v>20</v>
      </c>
      <c r="L2314" s="4" t="s">
        <v>6279</v>
      </c>
    </row>
    <row r="2315" customFormat="false" ht="13.35" hidden="false" customHeight="true" outlineLevel="0" collapsed="false">
      <c r="A2315" s="2" t="str">
        <f aca="false">HYPERLINK("https://www.fabsurplus.com/sdi_catalog/salesItemDetails.do?id=102396")</f>
        <v>https://www.fabsurplus.com/sdi_catalog/salesItemDetails.do?id=102396</v>
      </c>
      <c r="B2315" s="2" t="s">
        <v>6280</v>
      </c>
      <c r="C2315" s="2" t="s">
        <v>6261</v>
      </c>
      <c r="D2315" s="2" t="s">
        <v>6281</v>
      </c>
      <c r="E2315" s="2" t="s">
        <v>6282</v>
      </c>
      <c r="F2315" s="2" t="s">
        <v>16</v>
      </c>
      <c r="G2315" s="2" t="s">
        <v>17</v>
      </c>
      <c r="H2315" s="2"/>
      <c r="I2315" s="2"/>
      <c r="J2315" s="2" t="s">
        <v>19</v>
      </c>
      <c r="K2315" s="2"/>
      <c r="L2315" s="2"/>
    </row>
    <row r="2316" customFormat="false" ht="13.35" hidden="false" customHeight="true" outlineLevel="0" collapsed="false">
      <c r="A2316" s="2" t="str">
        <f aca="false">HYPERLINK("https://www.fabsurplus.com/sdi_catalog/salesItemDetails.do?id=91255")</f>
        <v>https://www.fabsurplus.com/sdi_catalog/salesItemDetails.do?id=91255</v>
      </c>
      <c r="B2316" s="2" t="s">
        <v>6283</v>
      </c>
      <c r="C2316" s="2" t="s">
        <v>6276</v>
      </c>
      <c r="D2316" s="2" t="s">
        <v>6284</v>
      </c>
      <c r="E2316" s="2" t="s">
        <v>6285</v>
      </c>
      <c r="F2316" s="2" t="s">
        <v>16</v>
      </c>
      <c r="G2316" s="2" t="s">
        <v>17</v>
      </c>
      <c r="H2316" s="2"/>
      <c r="I2316" s="2"/>
      <c r="J2316" s="2" t="s">
        <v>19</v>
      </c>
      <c r="K2316" s="2"/>
      <c r="L2316" s="2" t="s">
        <v>112</v>
      </c>
    </row>
    <row r="2317" customFormat="false" ht="13.35" hidden="false" customHeight="true" outlineLevel="0" collapsed="false">
      <c r="A2317" s="2" t="str">
        <f aca="false">HYPERLINK("https://www.fabsurplus.com/sdi_catalog/salesItemDetails.do?id=91256")</f>
        <v>https://www.fabsurplus.com/sdi_catalog/salesItemDetails.do?id=91256</v>
      </c>
      <c r="B2317" s="2" t="s">
        <v>6286</v>
      </c>
      <c r="C2317" s="2" t="s">
        <v>6276</v>
      </c>
      <c r="D2317" s="2" t="s">
        <v>6284</v>
      </c>
      <c r="E2317" s="2" t="s">
        <v>6285</v>
      </c>
      <c r="F2317" s="2" t="s">
        <v>16</v>
      </c>
      <c r="G2317" s="2" t="s">
        <v>17</v>
      </c>
      <c r="H2317" s="2"/>
      <c r="I2317" s="2"/>
      <c r="J2317" s="2" t="s">
        <v>19</v>
      </c>
      <c r="K2317" s="2"/>
      <c r="L2317" s="2" t="s">
        <v>112</v>
      </c>
    </row>
    <row r="2318" customFormat="false" ht="13.35" hidden="false" customHeight="true" outlineLevel="0" collapsed="false">
      <c r="A2318" s="5" t="str">
        <f aca="false">HYPERLINK("https://www.fabsurplus.com/sdi_catalog/salesItemDetails.do?id=91257")</f>
        <v>https://www.fabsurplus.com/sdi_catalog/salesItemDetails.do?id=91257</v>
      </c>
      <c r="B2318" s="5" t="s">
        <v>6287</v>
      </c>
      <c r="C2318" s="5" t="s">
        <v>6276</v>
      </c>
      <c r="D2318" s="5" t="s">
        <v>6284</v>
      </c>
      <c r="E2318" s="5" t="s">
        <v>6288</v>
      </c>
      <c r="F2318" s="5" t="s">
        <v>16</v>
      </c>
      <c r="G2318" s="5" t="s">
        <v>17</v>
      </c>
      <c r="H2318" s="5"/>
      <c r="I2318" s="5"/>
      <c r="J2318" s="5" t="s">
        <v>19</v>
      </c>
      <c r="K2318" s="5"/>
      <c r="L2318" s="5" t="s">
        <v>112</v>
      </c>
    </row>
    <row r="2319" customFormat="false" ht="13.35" hidden="false" customHeight="true" outlineLevel="0" collapsed="false">
      <c r="A2319" s="5" t="str">
        <f aca="false">HYPERLINK("https://www.fabsurplus.com/sdi_catalog/salesItemDetails.do?id=91258")</f>
        <v>https://www.fabsurplus.com/sdi_catalog/salesItemDetails.do?id=91258</v>
      </c>
      <c r="B2319" s="5" t="s">
        <v>6289</v>
      </c>
      <c r="C2319" s="5" t="s">
        <v>6276</v>
      </c>
      <c r="D2319" s="5" t="s">
        <v>6284</v>
      </c>
      <c r="E2319" s="5" t="s">
        <v>6290</v>
      </c>
      <c r="F2319" s="5" t="s">
        <v>16</v>
      </c>
      <c r="G2319" s="5" t="s">
        <v>17</v>
      </c>
      <c r="H2319" s="5"/>
      <c r="I2319" s="5"/>
      <c r="J2319" s="5" t="s">
        <v>19</v>
      </c>
      <c r="K2319" s="5"/>
      <c r="L2319" s="5" t="s">
        <v>112</v>
      </c>
    </row>
    <row r="2320" customFormat="false" ht="13.35" hidden="false" customHeight="true" outlineLevel="0" collapsed="false">
      <c r="A2320" s="5" t="str">
        <f aca="false">HYPERLINK("https://www.fabsurplus.com/sdi_catalog/salesItemDetails.do?id=102397")</f>
        <v>https://www.fabsurplus.com/sdi_catalog/salesItemDetails.do?id=102397</v>
      </c>
      <c r="B2320" s="5" t="s">
        <v>6291</v>
      </c>
      <c r="C2320" s="5" t="s">
        <v>6261</v>
      </c>
      <c r="D2320" s="5" t="s">
        <v>6281</v>
      </c>
      <c r="E2320" s="5" t="s">
        <v>6292</v>
      </c>
      <c r="F2320" s="5" t="s">
        <v>16</v>
      </c>
      <c r="G2320" s="5" t="s">
        <v>17</v>
      </c>
      <c r="H2320" s="5"/>
      <c r="I2320" s="5"/>
      <c r="J2320" s="5" t="s">
        <v>19</v>
      </c>
      <c r="K2320" s="5"/>
      <c r="L2320" s="5"/>
    </row>
    <row r="2321" customFormat="false" ht="13.35" hidden="false" customHeight="true" outlineLevel="0" collapsed="false">
      <c r="A2321" s="5" t="str">
        <f aca="false">HYPERLINK("https://www.fabsurplus.com/sdi_catalog/salesItemDetails.do?id=102398")</f>
        <v>https://www.fabsurplus.com/sdi_catalog/salesItemDetails.do?id=102398</v>
      </c>
      <c r="B2321" s="5" t="s">
        <v>6293</v>
      </c>
      <c r="C2321" s="5" t="s">
        <v>6261</v>
      </c>
      <c r="D2321" s="5" t="s">
        <v>6281</v>
      </c>
      <c r="E2321" s="5" t="s">
        <v>6292</v>
      </c>
      <c r="F2321" s="5" t="s">
        <v>16</v>
      </c>
      <c r="G2321" s="5" t="s">
        <v>17</v>
      </c>
      <c r="H2321" s="5"/>
      <c r="I2321" s="5"/>
      <c r="J2321" s="5" t="s">
        <v>19</v>
      </c>
      <c r="K2321" s="5"/>
      <c r="L2321" s="5"/>
    </row>
    <row r="2322" customFormat="false" ht="13.35" hidden="false" customHeight="true" outlineLevel="0" collapsed="false">
      <c r="A2322" s="2" t="str">
        <f aca="false">HYPERLINK("https://www.fabsurplus.com/sdi_catalog/salesItemDetails.do?id=102399")</f>
        <v>https://www.fabsurplus.com/sdi_catalog/salesItemDetails.do?id=102399</v>
      </c>
      <c r="B2322" s="2" t="s">
        <v>6294</v>
      </c>
      <c r="C2322" s="2" t="s">
        <v>6261</v>
      </c>
      <c r="D2322" s="2" t="s">
        <v>6281</v>
      </c>
      <c r="E2322" s="2" t="s">
        <v>6292</v>
      </c>
      <c r="F2322" s="2" t="s">
        <v>16</v>
      </c>
      <c r="G2322" s="2" t="s">
        <v>17</v>
      </c>
      <c r="H2322" s="2"/>
      <c r="I2322" s="2"/>
      <c r="J2322" s="2" t="s">
        <v>19</v>
      </c>
      <c r="K2322" s="2"/>
      <c r="L2322" s="2"/>
    </row>
    <row r="2323" customFormat="false" ht="13.35" hidden="false" customHeight="true" outlineLevel="0" collapsed="false">
      <c r="A2323" s="2" t="str">
        <f aca="false">HYPERLINK("https://www.fabsurplus.com/sdi_catalog/salesItemDetails.do?id=102400")</f>
        <v>https://www.fabsurplus.com/sdi_catalog/salesItemDetails.do?id=102400</v>
      </c>
      <c r="B2323" s="2" t="s">
        <v>6295</v>
      </c>
      <c r="C2323" s="2" t="s">
        <v>6261</v>
      </c>
      <c r="D2323" s="2" t="s">
        <v>6281</v>
      </c>
      <c r="E2323" s="2" t="s">
        <v>6292</v>
      </c>
      <c r="F2323" s="2" t="s">
        <v>16</v>
      </c>
      <c r="G2323" s="2" t="s">
        <v>17</v>
      </c>
      <c r="H2323" s="2"/>
      <c r="I2323" s="2"/>
      <c r="J2323" s="2" t="s">
        <v>19</v>
      </c>
      <c r="K2323" s="2"/>
      <c r="L2323" s="2"/>
    </row>
    <row r="2324" customFormat="false" ht="13.35" hidden="false" customHeight="true" outlineLevel="0" collapsed="false">
      <c r="A2324" s="5" t="str">
        <f aca="false">HYPERLINK("https://www.fabsurplus.com/sdi_catalog/salesItemDetails.do?id=93059")</f>
        <v>https://www.fabsurplus.com/sdi_catalog/salesItemDetails.do?id=93059</v>
      </c>
      <c r="B2324" s="5" t="s">
        <v>6296</v>
      </c>
      <c r="C2324" s="5" t="s">
        <v>6276</v>
      </c>
      <c r="D2324" s="5" t="s">
        <v>6284</v>
      </c>
      <c r="E2324" s="5" t="s">
        <v>6297</v>
      </c>
      <c r="F2324" s="5" t="s">
        <v>16</v>
      </c>
      <c r="G2324" s="5" t="s">
        <v>663</v>
      </c>
      <c r="H2324" s="5"/>
      <c r="I2324" s="6" t="n">
        <v>38504</v>
      </c>
      <c r="J2324" s="5" t="s">
        <v>19</v>
      </c>
      <c r="K2324" s="5"/>
      <c r="L2324" s="5" t="s">
        <v>112</v>
      </c>
    </row>
    <row r="2325" customFormat="false" ht="13.35" hidden="false" customHeight="true" outlineLevel="0" collapsed="false">
      <c r="A2325" s="5" t="str">
        <f aca="false">HYPERLINK("https://www.fabsurplus.com/sdi_catalog/salesItemDetails.do?id=93060")</f>
        <v>https://www.fabsurplus.com/sdi_catalog/salesItemDetails.do?id=93060</v>
      </c>
      <c r="B2325" s="5" t="s">
        <v>6298</v>
      </c>
      <c r="C2325" s="5" t="s">
        <v>6276</v>
      </c>
      <c r="D2325" s="5" t="s">
        <v>6284</v>
      </c>
      <c r="E2325" s="5" t="s">
        <v>6297</v>
      </c>
      <c r="F2325" s="5" t="s">
        <v>16</v>
      </c>
      <c r="G2325" s="5" t="s">
        <v>663</v>
      </c>
      <c r="H2325" s="5"/>
      <c r="I2325" s="6" t="n">
        <v>38504</v>
      </c>
      <c r="J2325" s="5" t="s">
        <v>19</v>
      </c>
      <c r="K2325" s="5"/>
      <c r="L2325" s="5" t="s">
        <v>112</v>
      </c>
    </row>
    <row r="2326" customFormat="false" ht="13.35" hidden="false" customHeight="true" outlineLevel="0" collapsed="false">
      <c r="A2326" s="5" t="str">
        <f aca="false">HYPERLINK("https://www.fabsurplus.com/sdi_catalog/salesItemDetails.do?id=93061")</f>
        <v>https://www.fabsurplus.com/sdi_catalog/salesItemDetails.do?id=93061</v>
      </c>
      <c r="B2326" s="5" t="s">
        <v>6299</v>
      </c>
      <c r="C2326" s="5" t="s">
        <v>6276</v>
      </c>
      <c r="D2326" s="5" t="s">
        <v>6284</v>
      </c>
      <c r="E2326" s="5" t="s">
        <v>6297</v>
      </c>
      <c r="F2326" s="5" t="s">
        <v>16</v>
      </c>
      <c r="G2326" s="5" t="s">
        <v>663</v>
      </c>
      <c r="H2326" s="5"/>
      <c r="I2326" s="6" t="n">
        <v>38869</v>
      </c>
      <c r="J2326" s="5" t="s">
        <v>19</v>
      </c>
      <c r="K2326" s="5"/>
      <c r="L2326" s="5" t="s">
        <v>112</v>
      </c>
    </row>
    <row r="2327" customFormat="false" ht="13.35" hidden="false" customHeight="true" outlineLevel="0" collapsed="false">
      <c r="A2327" s="2" t="str">
        <f aca="false">HYPERLINK("https://www.fabsurplus.com/sdi_catalog/salesItemDetails.do?id=93062")</f>
        <v>https://www.fabsurplus.com/sdi_catalog/salesItemDetails.do?id=93062</v>
      </c>
      <c r="B2327" s="2" t="s">
        <v>6300</v>
      </c>
      <c r="C2327" s="2" t="s">
        <v>6276</v>
      </c>
      <c r="D2327" s="2" t="s">
        <v>6284</v>
      </c>
      <c r="E2327" s="2" t="s">
        <v>6297</v>
      </c>
      <c r="F2327" s="2" t="s">
        <v>16</v>
      </c>
      <c r="G2327" s="2" t="s">
        <v>663</v>
      </c>
      <c r="H2327" s="2"/>
      <c r="I2327" s="3" t="n">
        <v>38139</v>
      </c>
      <c r="J2327" s="2" t="s">
        <v>19</v>
      </c>
      <c r="K2327" s="2"/>
      <c r="L2327" s="2" t="s">
        <v>112</v>
      </c>
    </row>
    <row r="2328" customFormat="false" ht="13.35" hidden="false" customHeight="true" outlineLevel="0" collapsed="false">
      <c r="A2328" s="2" t="str">
        <f aca="false">HYPERLINK("https://www.fabsurplus.com/sdi_catalog/salesItemDetails.do?id=93063")</f>
        <v>https://www.fabsurplus.com/sdi_catalog/salesItemDetails.do?id=93063</v>
      </c>
      <c r="B2328" s="2" t="s">
        <v>6301</v>
      </c>
      <c r="C2328" s="2" t="s">
        <v>6276</v>
      </c>
      <c r="D2328" s="2" t="s">
        <v>6284</v>
      </c>
      <c r="E2328" s="2" t="s">
        <v>6297</v>
      </c>
      <c r="F2328" s="2" t="s">
        <v>16</v>
      </c>
      <c r="G2328" s="2" t="s">
        <v>663</v>
      </c>
      <c r="H2328" s="2"/>
      <c r="I2328" s="3" t="n">
        <v>38504</v>
      </c>
      <c r="J2328" s="2" t="s">
        <v>19</v>
      </c>
      <c r="K2328" s="2"/>
      <c r="L2328" s="2" t="s">
        <v>112</v>
      </c>
    </row>
    <row r="2329" customFormat="false" ht="13.35" hidden="false" customHeight="true" outlineLevel="0" collapsed="false">
      <c r="A2329" s="5" t="str">
        <f aca="false">HYPERLINK("https://www.fabsurplus.com/sdi_catalog/salesItemDetails.do?id=93064")</f>
        <v>https://www.fabsurplus.com/sdi_catalog/salesItemDetails.do?id=93064</v>
      </c>
      <c r="B2329" s="5" t="s">
        <v>6302</v>
      </c>
      <c r="C2329" s="5" t="s">
        <v>6276</v>
      </c>
      <c r="D2329" s="5" t="s">
        <v>6284</v>
      </c>
      <c r="E2329" s="5" t="s">
        <v>6297</v>
      </c>
      <c r="F2329" s="5" t="s">
        <v>16</v>
      </c>
      <c r="G2329" s="5" t="s">
        <v>663</v>
      </c>
      <c r="H2329" s="5"/>
      <c r="I2329" s="6" t="n">
        <v>39234</v>
      </c>
      <c r="J2329" s="5" t="s">
        <v>19</v>
      </c>
      <c r="K2329" s="5"/>
      <c r="L2329" s="5" t="s">
        <v>112</v>
      </c>
    </row>
    <row r="2330" customFormat="false" ht="13.35" hidden="false" customHeight="true" outlineLevel="0" collapsed="false">
      <c r="A2330" s="5" t="str">
        <f aca="false">HYPERLINK("https://www.fabsurplus.com/sdi_catalog/salesItemDetails.do?id=93065")</f>
        <v>https://www.fabsurplus.com/sdi_catalog/salesItemDetails.do?id=93065</v>
      </c>
      <c r="B2330" s="5" t="s">
        <v>6303</v>
      </c>
      <c r="C2330" s="5" t="s">
        <v>6276</v>
      </c>
      <c r="D2330" s="5" t="s">
        <v>6284</v>
      </c>
      <c r="E2330" s="5" t="s">
        <v>6297</v>
      </c>
      <c r="F2330" s="5" t="s">
        <v>16</v>
      </c>
      <c r="G2330" s="5" t="s">
        <v>663</v>
      </c>
      <c r="H2330" s="5"/>
      <c r="I2330" s="6" t="n">
        <v>39234</v>
      </c>
      <c r="J2330" s="5" t="s">
        <v>19</v>
      </c>
      <c r="K2330" s="5"/>
      <c r="L2330" s="5" t="s">
        <v>112</v>
      </c>
    </row>
    <row r="2331" customFormat="false" ht="13.35" hidden="false" customHeight="true" outlineLevel="0" collapsed="false">
      <c r="A2331" s="5" t="str">
        <f aca="false">HYPERLINK("https://www.fabsurplus.com/sdi_catalog/salesItemDetails.do?id=102800")</f>
        <v>https://www.fabsurplus.com/sdi_catalog/salesItemDetails.do?id=102800</v>
      </c>
      <c r="B2331" s="5" t="s">
        <v>6304</v>
      </c>
      <c r="C2331" s="5" t="s">
        <v>6261</v>
      </c>
      <c r="D2331" s="5" t="s">
        <v>6305</v>
      </c>
      <c r="E2331" s="5" t="s">
        <v>6306</v>
      </c>
      <c r="F2331" s="5" t="s">
        <v>16</v>
      </c>
      <c r="G2331" s="5" t="s">
        <v>17</v>
      </c>
      <c r="H2331" s="5"/>
      <c r="I2331" s="5"/>
      <c r="J2331" s="5" t="s">
        <v>19</v>
      </c>
      <c r="K2331" s="5"/>
      <c r="L2331" s="5"/>
    </row>
    <row r="2332" customFormat="false" ht="13.35" hidden="false" customHeight="true" outlineLevel="0" collapsed="false">
      <c r="A2332" s="5" t="str">
        <f aca="false">HYPERLINK("https://www.fabsurplus.com/sdi_catalog/salesItemDetails.do?id=102801")</f>
        <v>https://www.fabsurplus.com/sdi_catalog/salesItemDetails.do?id=102801</v>
      </c>
      <c r="B2332" s="5" t="s">
        <v>6307</v>
      </c>
      <c r="C2332" s="5" t="s">
        <v>6261</v>
      </c>
      <c r="D2332" s="5" t="s">
        <v>6305</v>
      </c>
      <c r="E2332" s="5" t="s">
        <v>6306</v>
      </c>
      <c r="F2332" s="5" t="s">
        <v>16</v>
      </c>
      <c r="G2332" s="5" t="s">
        <v>17</v>
      </c>
      <c r="H2332" s="5"/>
      <c r="I2332" s="5"/>
      <c r="J2332" s="5" t="s">
        <v>19</v>
      </c>
      <c r="K2332" s="5"/>
      <c r="L2332" s="5" t="s">
        <v>1891</v>
      </c>
    </row>
    <row r="2333" customFormat="false" ht="13.35" hidden="false" customHeight="true" outlineLevel="0" collapsed="false">
      <c r="A2333" s="5" t="str">
        <f aca="false">HYPERLINK("https://www.fabsurplus.com/sdi_catalog/salesItemDetails.do?id=102802")</f>
        <v>https://www.fabsurplus.com/sdi_catalog/salesItemDetails.do?id=102802</v>
      </c>
      <c r="B2333" s="5" t="s">
        <v>6308</v>
      </c>
      <c r="C2333" s="5" t="s">
        <v>6261</v>
      </c>
      <c r="D2333" s="5" t="s">
        <v>6305</v>
      </c>
      <c r="E2333" s="5" t="s">
        <v>6306</v>
      </c>
      <c r="F2333" s="5" t="s">
        <v>16</v>
      </c>
      <c r="G2333" s="5" t="s">
        <v>17</v>
      </c>
      <c r="H2333" s="5"/>
      <c r="I2333" s="5"/>
      <c r="J2333" s="5" t="s">
        <v>19</v>
      </c>
      <c r="K2333" s="5"/>
      <c r="L2333" s="5"/>
    </row>
    <row r="2334" customFormat="false" ht="13.35" hidden="false" customHeight="true" outlineLevel="0" collapsed="false">
      <c r="A2334" s="5" t="str">
        <f aca="false">HYPERLINK("https://www.fabsurplus.com/sdi_catalog/salesItemDetails.do?id=102803")</f>
        <v>https://www.fabsurplus.com/sdi_catalog/salesItemDetails.do?id=102803</v>
      </c>
      <c r="B2334" s="5" t="s">
        <v>6309</v>
      </c>
      <c r="C2334" s="5" t="s">
        <v>6261</v>
      </c>
      <c r="D2334" s="5" t="s">
        <v>6305</v>
      </c>
      <c r="E2334" s="5" t="s">
        <v>6306</v>
      </c>
      <c r="F2334" s="5" t="s">
        <v>16</v>
      </c>
      <c r="G2334" s="5" t="s">
        <v>17</v>
      </c>
      <c r="H2334" s="5"/>
      <c r="I2334" s="5"/>
      <c r="J2334" s="5" t="s">
        <v>19</v>
      </c>
      <c r="K2334" s="5"/>
      <c r="L2334" s="5"/>
    </row>
    <row r="2335" customFormat="false" ht="13.35" hidden="false" customHeight="true" outlineLevel="0" collapsed="false">
      <c r="A2335" s="5" t="str">
        <f aca="false">HYPERLINK("https://www.fabsurplus.com/sdi_catalog/salesItemDetails.do?id=102798")</f>
        <v>https://www.fabsurplus.com/sdi_catalog/salesItemDetails.do?id=102798</v>
      </c>
      <c r="B2335" s="5" t="s">
        <v>6310</v>
      </c>
      <c r="C2335" s="5" t="s">
        <v>6261</v>
      </c>
      <c r="D2335" s="5" t="s">
        <v>6305</v>
      </c>
      <c r="E2335" s="5" t="s">
        <v>6311</v>
      </c>
      <c r="F2335" s="5" t="s">
        <v>16</v>
      </c>
      <c r="G2335" s="5" t="s">
        <v>17</v>
      </c>
      <c r="H2335" s="5"/>
      <c r="I2335" s="5"/>
      <c r="J2335" s="5" t="s">
        <v>19</v>
      </c>
      <c r="K2335" s="5"/>
      <c r="L2335" s="5" t="s">
        <v>6312</v>
      </c>
    </row>
    <row r="2336" customFormat="false" ht="13.35" hidden="false" customHeight="true" outlineLevel="0" collapsed="false">
      <c r="A2336" s="2" t="str">
        <f aca="false">HYPERLINK("https://www.fabsurplus.com/sdi_catalog/salesItemDetails.do?id=102799")</f>
        <v>https://www.fabsurplus.com/sdi_catalog/salesItemDetails.do?id=102799</v>
      </c>
      <c r="B2336" s="2" t="s">
        <v>6313</v>
      </c>
      <c r="C2336" s="2" t="s">
        <v>6261</v>
      </c>
      <c r="D2336" s="2" t="s">
        <v>6305</v>
      </c>
      <c r="E2336" s="2" t="s">
        <v>6311</v>
      </c>
      <c r="F2336" s="2" t="s">
        <v>16</v>
      </c>
      <c r="G2336" s="2" t="s">
        <v>17</v>
      </c>
      <c r="H2336" s="2"/>
      <c r="I2336" s="2"/>
      <c r="J2336" s="2" t="s">
        <v>19</v>
      </c>
      <c r="K2336" s="2"/>
      <c r="L2336" s="2"/>
    </row>
    <row r="2337" customFormat="false" ht="13.35" hidden="false" customHeight="true" outlineLevel="0" collapsed="false">
      <c r="A2337" s="2" t="str">
        <f aca="false">HYPERLINK("https://www.fabsurplus.com/sdi_catalog/salesItemDetails.do?id=102804")</f>
        <v>https://www.fabsurplus.com/sdi_catalog/salesItemDetails.do?id=102804</v>
      </c>
      <c r="B2337" s="2" t="s">
        <v>6314</v>
      </c>
      <c r="C2337" s="2" t="s">
        <v>6261</v>
      </c>
      <c r="D2337" s="2" t="s">
        <v>6315</v>
      </c>
      <c r="E2337" s="2" t="s">
        <v>3974</v>
      </c>
      <c r="F2337" s="2" t="s">
        <v>16</v>
      </c>
      <c r="G2337" s="2" t="s">
        <v>17</v>
      </c>
      <c r="H2337" s="2"/>
      <c r="I2337" s="2"/>
      <c r="J2337" s="2" t="s">
        <v>19</v>
      </c>
      <c r="K2337" s="2"/>
      <c r="L2337" s="2"/>
    </row>
    <row r="2338" customFormat="false" ht="13.35" hidden="false" customHeight="true" outlineLevel="0" collapsed="false">
      <c r="A2338" s="5" t="str">
        <f aca="false">HYPERLINK("https://www.fabsurplus.com/sdi_catalog/salesItemDetails.do?id=102806")</f>
        <v>https://www.fabsurplus.com/sdi_catalog/salesItemDetails.do?id=102806</v>
      </c>
      <c r="B2338" s="5" t="s">
        <v>6316</v>
      </c>
      <c r="C2338" s="5" t="s">
        <v>6261</v>
      </c>
      <c r="D2338" s="5" t="s">
        <v>6317</v>
      </c>
      <c r="E2338" s="5" t="s">
        <v>6318</v>
      </c>
      <c r="F2338" s="5" t="s">
        <v>16</v>
      </c>
      <c r="G2338" s="5" t="s">
        <v>17</v>
      </c>
      <c r="H2338" s="5"/>
      <c r="I2338" s="5"/>
      <c r="J2338" s="5" t="s">
        <v>19</v>
      </c>
      <c r="K2338" s="5"/>
      <c r="L2338" s="5" t="s">
        <v>1891</v>
      </c>
    </row>
    <row r="2339" customFormat="false" ht="13.35" hidden="false" customHeight="true" outlineLevel="0" collapsed="false">
      <c r="A2339" s="5" t="str">
        <f aca="false">HYPERLINK("https://www.fabsurplus.com/sdi_catalog/salesItemDetails.do?id=102401")</f>
        <v>https://www.fabsurplus.com/sdi_catalog/salesItemDetails.do?id=102401</v>
      </c>
      <c r="B2339" s="5" t="s">
        <v>6319</v>
      </c>
      <c r="C2339" s="5" t="s">
        <v>6261</v>
      </c>
      <c r="D2339" s="5" t="s">
        <v>6320</v>
      </c>
      <c r="E2339" s="5" t="s">
        <v>6321</v>
      </c>
      <c r="F2339" s="5" t="s">
        <v>16</v>
      </c>
      <c r="G2339" s="5" t="s">
        <v>17</v>
      </c>
      <c r="H2339" s="5"/>
      <c r="I2339" s="6" t="n">
        <v>41061</v>
      </c>
      <c r="J2339" s="5" t="s">
        <v>19</v>
      </c>
      <c r="K2339" s="5"/>
      <c r="L2339" s="5"/>
    </row>
    <row r="2340" customFormat="false" ht="13.35" hidden="false" customHeight="true" outlineLevel="0" collapsed="false">
      <c r="A2340" s="2" t="str">
        <f aca="false">HYPERLINK("https://www.fabsurplus.com/sdi_catalog/salesItemDetails.do?id=102402")</f>
        <v>https://www.fabsurplus.com/sdi_catalog/salesItemDetails.do?id=102402</v>
      </c>
      <c r="B2340" s="2" t="s">
        <v>6322</v>
      </c>
      <c r="C2340" s="2" t="s">
        <v>6261</v>
      </c>
      <c r="D2340" s="2" t="s">
        <v>6323</v>
      </c>
      <c r="E2340" s="2" t="s">
        <v>6324</v>
      </c>
      <c r="F2340" s="2" t="s">
        <v>16</v>
      </c>
      <c r="G2340" s="2" t="s">
        <v>17</v>
      </c>
      <c r="H2340" s="2"/>
      <c r="I2340" s="3" t="n">
        <v>42522</v>
      </c>
      <c r="J2340" s="2" t="s">
        <v>19</v>
      </c>
      <c r="K2340" s="2"/>
      <c r="L2340" s="2"/>
    </row>
    <row r="2341" customFormat="false" ht="13.35" hidden="false" customHeight="true" outlineLevel="0" collapsed="false">
      <c r="A2341" s="2" t="str">
        <f aca="false">HYPERLINK("https://www.fabsurplus.com/sdi_catalog/salesItemDetails.do?id=102897")</f>
        <v>https://www.fabsurplus.com/sdi_catalog/salesItemDetails.do?id=102897</v>
      </c>
      <c r="B2341" s="2" t="s">
        <v>6325</v>
      </c>
      <c r="C2341" s="2" t="s">
        <v>6261</v>
      </c>
      <c r="D2341" s="2" t="s">
        <v>6326</v>
      </c>
      <c r="E2341" s="2" t="s">
        <v>2385</v>
      </c>
      <c r="F2341" s="2" t="s">
        <v>16</v>
      </c>
      <c r="G2341" s="2" t="s">
        <v>17</v>
      </c>
      <c r="H2341" s="2"/>
      <c r="I2341" s="3" t="n">
        <v>35947</v>
      </c>
      <c r="J2341" s="2" t="s">
        <v>19</v>
      </c>
      <c r="K2341" s="2"/>
      <c r="L2341" s="2" t="s">
        <v>6327</v>
      </c>
    </row>
    <row r="2342" customFormat="false" ht="13.35" hidden="false" customHeight="true" outlineLevel="0" collapsed="false">
      <c r="A2342" s="5" t="str">
        <f aca="false">HYPERLINK("https://www.fabsurplus.com/sdi_catalog/salesItemDetails.do?id=102898")</f>
        <v>https://www.fabsurplus.com/sdi_catalog/salesItemDetails.do?id=102898</v>
      </c>
      <c r="B2342" s="5" t="s">
        <v>6328</v>
      </c>
      <c r="C2342" s="5" t="s">
        <v>6261</v>
      </c>
      <c r="D2342" s="5" t="s">
        <v>6326</v>
      </c>
      <c r="E2342" s="5" t="s">
        <v>2385</v>
      </c>
      <c r="F2342" s="5" t="s">
        <v>16</v>
      </c>
      <c r="G2342" s="5" t="s">
        <v>17</v>
      </c>
      <c r="H2342" s="5"/>
      <c r="I2342" s="6" t="n">
        <v>35947</v>
      </c>
      <c r="J2342" s="5" t="s">
        <v>19</v>
      </c>
      <c r="K2342" s="5"/>
      <c r="L2342" s="5" t="s">
        <v>6329</v>
      </c>
    </row>
    <row r="2343" customFormat="false" ht="13.35" hidden="false" customHeight="true" outlineLevel="0" collapsed="false">
      <c r="A2343" s="2" t="str">
        <f aca="false">HYPERLINK("https://www.fabsurplus.com/sdi_catalog/salesItemDetails.do?id=102899")</f>
        <v>https://www.fabsurplus.com/sdi_catalog/salesItemDetails.do?id=102899</v>
      </c>
      <c r="B2343" s="2" t="s">
        <v>6330</v>
      </c>
      <c r="C2343" s="2" t="s">
        <v>6261</v>
      </c>
      <c r="D2343" s="2" t="s">
        <v>6331</v>
      </c>
      <c r="E2343" s="2" t="s">
        <v>2385</v>
      </c>
      <c r="F2343" s="2" t="s">
        <v>16</v>
      </c>
      <c r="G2343" s="2" t="s">
        <v>36</v>
      </c>
      <c r="H2343" s="2"/>
      <c r="I2343" s="2"/>
      <c r="J2343" s="2" t="s">
        <v>19</v>
      </c>
      <c r="K2343" s="2"/>
      <c r="L2343" s="4" t="s">
        <v>6332</v>
      </c>
    </row>
    <row r="2344" customFormat="false" ht="13.35" hidden="false" customHeight="true" outlineLevel="0" collapsed="false">
      <c r="A2344" s="5" t="str">
        <f aca="false">HYPERLINK("https://www.fabsurplus.com/sdi_catalog/salesItemDetails.do?id=102900")</f>
        <v>https://www.fabsurplus.com/sdi_catalog/salesItemDetails.do?id=102900</v>
      </c>
      <c r="B2344" s="5" t="s">
        <v>6333</v>
      </c>
      <c r="C2344" s="5" t="s">
        <v>6261</v>
      </c>
      <c r="D2344" s="5" t="s">
        <v>6331</v>
      </c>
      <c r="E2344" s="5" t="s">
        <v>2385</v>
      </c>
      <c r="F2344" s="5" t="s">
        <v>16</v>
      </c>
      <c r="G2344" s="5" t="s">
        <v>36</v>
      </c>
      <c r="H2344" s="5"/>
      <c r="I2344" s="5"/>
      <c r="J2344" s="5" t="s">
        <v>19</v>
      </c>
      <c r="K2344" s="5"/>
      <c r="L2344" s="5" t="s">
        <v>6334</v>
      </c>
    </row>
    <row r="2345" customFormat="false" ht="13.35" hidden="false" customHeight="true" outlineLevel="0" collapsed="false">
      <c r="A2345" s="2" t="str">
        <f aca="false">HYPERLINK("https://www.fabsurplus.com/sdi_catalog/salesItemDetails.do?id=102901")</f>
        <v>https://www.fabsurplus.com/sdi_catalog/salesItemDetails.do?id=102901</v>
      </c>
      <c r="B2345" s="2" t="s">
        <v>6335</v>
      </c>
      <c r="C2345" s="2" t="s">
        <v>6261</v>
      </c>
      <c r="D2345" s="2" t="s">
        <v>6331</v>
      </c>
      <c r="E2345" s="2" t="s">
        <v>2385</v>
      </c>
      <c r="F2345" s="2" t="s">
        <v>16</v>
      </c>
      <c r="G2345" s="2" t="s">
        <v>36</v>
      </c>
      <c r="H2345" s="2"/>
      <c r="I2345" s="2"/>
      <c r="J2345" s="2" t="s">
        <v>19</v>
      </c>
      <c r="K2345" s="2"/>
      <c r="L2345" s="2" t="s">
        <v>6336</v>
      </c>
    </row>
    <row r="2346" customFormat="false" ht="13.35" hidden="false" customHeight="true" outlineLevel="0" collapsed="false">
      <c r="A2346" s="5" t="str">
        <f aca="false">HYPERLINK("https://www.fabsurplus.com/sdi_catalog/salesItemDetails.do?id=102902")</f>
        <v>https://www.fabsurplus.com/sdi_catalog/salesItemDetails.do?id=102902</v>
      </c>
      <c r="B2346" s="5" t="s">
        <v>6337</v>
      </c>
      <c r="C2346" s="5" t="s">
        <v>6261</v>
      </c>
      <c r="D2346" s="5" t="s">
        <v>6331</v>
      </c>
      <c r="E2346" s="5" t="s">
        <v>2385</v>
      </c>
      <c r="F2346" s="5" t="s">
        <v>16</v>
      </c>
      <c r="G2346" s="5" t="s">
        <v>36</v>
      </c>
      <c r="H2346" s="5"/>
      <c r="I2346" s="5"/>
      <c r="J2346" s="5" t="s">
        <v>19</v>
      </c>
      <c r="K2346" s="5"/>
      <c r="L2346" s="5" t="s">
        <v>6338</v>
      </c>
    </row>
    <row r="2347" customFormat="false" ht="13.35" hidden="false" customHeight="true" outlineLevel="0" collapsed="false">
      <c r="A2347" s="5" t="str">
        <f aca="false">HYPERLINK("https://www.fabsurplus.com/sdi_catalog/salesItemDetails.do?id=102903")</f>
        <v>https://www.fabsurplus.com/sdi_catalog/salesItemDetails.do?id=102903</v>
      </c>
      <c r="B2347" s="5" t="s">
        <v>6339</v>
      </c>
      <c r="C2347" s="5" t="s">
        <v>6261</v>
      </c>
      <c r="D2347" s="5" t="s">
        <v>6331</v>
      </c>
      <c r="E2347" s="5" t="s">
        <v>2385</v>
      </c>
      <c r="F2347" s="5" t="s">
        <v>16</v>
      </c>
      <c r="G2347" s="5" t="s">
        <v>36</v>
      </c>
      <c r="H2347" s="5"/>
      <c r="I2347" s="5"/>
      <c r="J2347" s="5" t="s">
        <v>19</v>
      </c>
      <c r="K2347" s="5"/>
      <c r="L2347" s="5" t="s">
        <v>6340</v>
      </c>
    </row>
    <row r="2348" customFormat="false" ht="13.35" hidden="false" customHeight="true" outlineLevel="0" collapsed="false">
      <c r="A2348" s="2" t="str">
        <f aca="false">HYPERLINK("https://www.fabsurplus.com/sdi_catalog/salesItemDetails.do?id=102904")</f>
        <v>https://www.fabsurplus.com/sdi_catalog/salesItemDetails.do?id=102904</v>
      </c>
      <c r="B2348" s="2" t="s">
        <v>6341</v>
      </c>
      <c r="C2348" s="2" t="s">
        <v>6261</v>
      </c>
      <c r="D2348" s="2" t="s">
        <v>6331</v>
      </c>
      <c r="E2348" s="2" t="s">
        <v>2385</v>
      </c>
      <c r="F2348" s="2" t="s">
        <v>16</v>
      </c>
      <c r="G2348" s="2" t="s">
        <v>36</v>
      </c>
      <c r="H2348" s="2"/>
      <c r="I2348" s="2"/>
      <c r="J2348" s="2" t="s">
        <v>19</v>
      </c>
      <c r="K2348" s="2"/>
      <c r="L2348" s="2" t="s">
        <v>6342</v>
      </c>
    </row>
    <row r="2349" customFormat="false" ht="13.35" hidden="false" customHeight="true" outlineLevel="0" collapsed="false">
      <c r="A2349" s="5" t="str">
        <f aca="false">HYPERLINK("https://www.fabsurplus.com/sdi_catalog/salesItemDetails.do?id=102905")</f>
        <v>https://www.fabsurplus.com/sdi_catalog/salesItemDetails.do?id=102905</v>
      </c>
      <c r="B2349" s="5" t="s">
        <v>6343</v>
      </c>
      <c r="C2349" s="5" t="s">
        <v>6261</v>
      </c>
      <c r="D2349" s="5" t="s">
        <v>6331</v>
      </c>
      <c r="E2349" s="5" t="s">
        <v>2385</v>
      </c>
      <c r="F2349" s="5" t="s">
        <v>16</v>
      </c>
      <c r="G2349" s="5" t="s">
        <v>36</v>
      </c>
      <c r="H2349" s="5"/>
      <c r="I2349" s="5"/>
      <c r="J2349" s="5" t="s">
        <v>19</v>
      </c>
      <c r="K2349" s="5" t="s">
        <v>20</v>
      </c>
      <c r="L2349" s="5" t="s">
        <v>6342</v>
      </c>
    </row>
    <row r="2350" customFormat="false" ht="13.35" hidden="false" customHeight="true" outlineLevel="0" collapsed="false">
      <c r="A2350" s="5" t="str">
        <f aca="false">HYPERLINK("https://www.fabsurplus.com/sdi_catalog/salesItemDetails.do?id=102906")</f>
        <v>https://www.fabsurplus.com/sdi_catalog/salesItemDetails.do?id=102906</v>
      </c>
      <c r="B2350" s="5" t="s">
        <v>6344</v>
      </c>
      <c r="C2350" s="5" t="s">
        <v>6261</v>
      </c>
      <c r="D2350" s="5" t="s">
        <v>6331</v>
      </c>
      <c r="E2350" s="5" t="s">
        <v>2385</v>
      </c>
      <c r="F2350" s="5" t="s">
        <v>16</v>
      </c>
      <c r="G2350" s="5" t="s">
        <v>36</v>
      </c>
      <c r="H2350" s="5"/>
      <c r="I2350" s="5"/>
      <c r="J2350" s="5" t="s">
        <v>19</v>
      </c>
      <c r="K2350" s="5" t="s">
        <v>20</v>
      </c>
      <c r="L2350" s="5" t="s">
        <v>6342</v>
      </c>
    </row>
    <row r="2351" customFormat="false" ht="13.35" hidden="false" customHeight="true" outlineLevel="0" collapsed="false">
      <c r="A2351" s="2" t="str">
        <f aca="false">HYPERLINK("https://www.fabsurplus.com/sdi_catalog/salesItemDetails.do?id=102907")</f>
        <v>https://www.fabsurplus.com/sdi_catalog/salesItemDetails.do?id=102907</v>
      </c>
      <c r="B2351" s="2" t="s">
        <v>6345</v>
      </c>
      <c r="C2351" s="2" t="s">
        <v>6261</v>
      </c>
      <c r="D2351" s="2" t="s">
        <v>6331</v>
      </c>
      <c r="E2351" s="2" t="s">
        <v>2385</v>
      </c>
      <c r="F2351" s="2" t="s">
        <v>16</v>
      </c>
      <c r="G2351" s="2" t="s">
        <v>36</v>
      </c>
      <c r="H2351" s="2"/>
      <c r="I2351" s="2"/>
      <c r="J2351" s="2" t="s">
        <v>19</v>
      </c>
      <c r="K2351" s="2" t="s">
        <v>20</v>
      </c>
      <c r="L2351" s="2" t="s">
        <v>6346</v>
      </c>
    </row>
    <row r="2352" customFormat="false" ht="13.35" hidden="false" customHeight="true" outlineLevel="0" collapsed="false">
      <c r="A2352" s="5" t="str">
        <f aca="false">HYPERLINK("https://www.fabsurplus.com/sdi_catalog/salesItemDetails.do?id=102908")</f>
        <v>https://www.fabsurplus.com/sdi_catalog/salesItemDetails.do?id=102908</v>
      </c>
      <c r="B2352" s="5" t="s">
        <v>6347</v>
      </c>
      <c r="C2352" s="5" t="s">
        <v>6261</v>
      </c>
      <c r="D2352" s="5" t="s">
        <v>6331</v>
      </c>
      <c r="E2352" s="5" t="s">
        <v>2385</v>
      </c>
      <c r="F2352" s="5" t="s">
        <v>16</v>
      </c>
      <c r="G2352" s="5" t="s">
        <v>36</v>
      </c>
      <c r="H2352" s="5"/>
      <c r="I2352" s="5"/>
      <c r="J2352" s="5" t="s">
        <v>19</v>
      </c>
      <c r="K2352" s="5"/>
      <c r="L2352" s="7" t="s">
        <v>6348</v>
      </c>
    </row>
    <row r="2353" customFormat="false" ht="13.35" hidden="false" customHeight="true" outlineLevel="0" collapsed="false">
      <c r="A2353" s="5" t="str">
        <f aca="false">HYPERLINK("https://www.fabsurplus.com/sdi_catalog/salesItemDetails.do?id=102809")</f>
        <v>https://www.fabsurplus.com/sdi_catalog/salesItemDetails.do?id=102809</v>
      </c>
      <c r="B2353" s="5" t="s">
        <v>6349</v>
      </c>
      <c r="C2353" s="5" t="s">
        <v>6261</v>
      </c>
      <c r="D2353" s="5" t="s">
        <v>6350</v>
      </c>
      <c r="E2353" s="5" t="s">
        <v>6351</v>
      </c>
      <c r="F2353" s="5" t="s">
        <v>16</v>
      </c>
      <c r="G2353" s="5" t="s">
        <v>17</v>
      </c>
      <c r="H2353" s="5"/>
      <c r="I2353" s="6" t="n">
        <v>38504</v>
      </c>
      <c r="J2353" s="5" t="s">
        <v>19</v>
      </c>
      <c r="K2353" s="5"/>
      <c r="L2353" s="7" t="s">
        <v>6352</v>
      </c>
    </row>
    <row r="2354" customFormat="false" ht="13.35" hidden="false" customHeight="true" outlineLevel="0" collapsed="false">
      <c r="A2354" s="5" t="str">
        <f aca="false">HYPERLINK("https://www.fabsurplus.com/sdi_catalog/salesItemDetails.do?id=102807")</f>
        <v>https://www.fabsurplus.com/sdi_catalog/salesItemDetails.do?id=102807</v>
      </c>
      <c r="B2354" s="5" t="s">
        <v>6353</v>
      </c>
      <c r="C2354" s="5" t="s">
        <v>6261</v>
      </c>
      <c r="D2354" s="5" t="s">
        <v>6350</v>
      </c>
      <c r="E2354" s="5" t="s">
        <v>6354</v>
      </c>
      <c r="F2354" s="5" t="s">
        <v>16</v>
      </c>
      <c r="G2354" s="5" t="s">
        <v>17</v>
      </c>
      <c r="H2354" s="5"/>
      <c r="I2354" s="6" t="n">
        <v>38565</v>
      </c>
      <c r="J2354" s="5" t="s">
        <v>19</v>
      </c>
      <c r="K2354" s="5"/>
      <c r="L2354" s="7" t="s">
        <v>6355</v>
      </c>
    </row>
    <row r="2355" customFormat="false" ht="13.35" hidden="false" customHeight="true" outlineLevel="0" collapsed="false">
      <c r="A2355" s="2" t="str">
        <f aca="false">HYPERLINK("https://www.fabsurplus.com/sdi_catalog/salesItemDetails.do?id=102808")</f>
        <v>https://www.fabsurplus.com/sdi_catalog/salesItemDetails.do?id=102808</v>
      </c>
      <c r="B2355" s="2" t="s">
        <v>6356</v>
      </c>
      <c r="C2355" s="2" t="s">
        <v>6261</v>
      </c>
      <c r="D2355" s="2" t="s">
        <v>6350</v>
      </c>
      <c r="E2355" s="2" t="s">
        <v>6357</v>
      </c>
      <c r="F2355" s="2" t="s">
        <v>16</v>
      </c>
      <c r="G2355" s="2" t="s">
        <v>17</v>
      </c>
      <c r="H2355" s="2"/>
      <c r="I2355" s="2"/>
      <c r="J2355" s="2" t="s">
        <v>19</v>
      </c>
      <c r="K2355" s="2"/>
      <c r="L2355" s="2"/>
    </row>
    <row r="2356" customFormat="false" ht="13.35" hidden="false" customHeight="true" outlineLevel="0" collapsed="false">
      <c r="A2356" s="2" t="str">
        <f aca="false">HYPERLINK("https://www.fabsurplus.com/sdi_catalog/salesItemDetails.do?id=102909")</f>
        <v>https://www.fabsurplus.com/sdi_catalog/salesItemDetails.do?id=102909</v>
      </c>
      <c r="B2356" s="2" t="s">
        <v>6358</v>
      </c>
      <c r="C2356" s="2" t="s">
        <v>6261</v>
      </c>
      <c r="D2356" s="2" t="s">
        <v>6359</v>
      </c>
      <c r="E2356" s="2" t="s">
        <v>2385</v>
      </c>
      <c r="F2356" s="2" t="s">
        <v>16</v>
      </c>
      <c r="G2356" s="2" t="s">
        <v>36</v>
      </c>
      <c r="H2356" s="2"/>
      <c r="I2356" s="2"/>
      <c r="J2356" s="2" t="s">
        <v>19</v>
      </c>
      <c r="K2356" s="2"/>
      <c r="L2356" s="2" t="s">
        <v>6360</v>
      </c>
    </row>
    <row r="2357" customFormat="false" ht="13.35" hidden="false" customHeight="true" outlineLevel="0" collapsed="false">
      <c r="A2357" s="2" t="str">
        <f aca="false">HYPERLINK("https://www.fabsurplus.com/sdi_catalog/salesItemDetails.do?id=102910")</f>
        <v>https://www.fabsurplus.com/sdi_catalog/salesItemDetails.do?id=102910</v>
      </c>
      <c r="B2357" s="2" t="s">
        <v>6361</v>
      </c>
      <c r="C2357" s="2" t="s">
        <v>6261</v>
      </c>
      <c r="D2357" s="2" t="s">
        <v>6359</v>
      </c>
      <c r="E2357" s="2" t="s">
        <v>2385</v>
      </c>
      <c r="F2357" s="2" t="s">
        <v>16</v>
      </c>
      <c r="G2357" s="2" t="s">
        <v>36</v>
      </c>
      <c r="H2357" s="2"/>
      <c r="I2357" s="2"/>
      <c r="J2357" s="2" t="s">
        <v>19</v>
      </c>
      <c r="K2357" s="2"/>
      <c r="L2357" s="2" t="s">
        <v>6360</v>
      </c>
    </row>
    <row r="2358" customFormat="false" ht="13.35" hidden="false" customHeight="true" outlineLevel="0" collapsed="false">
      <c r="A2358" s="5" t="str">
        <f aca="false">HYPERLINK("https://www.fabsurplus.com/sdi_catalog/salesItemDetails.do?id=102911")</f>
        <v>https://www.fabsurplus.com/sdi_catalog/salesItemDetails.do?id=102911</v>
      </c>
      <c r="B2358" s="5" t="s">
        <v>6362</v>
      </c>
      <c r="C2358" s="5" t="s">
        <v>6261</v>
      </c>
      <c r="D2358" s="5" t="s">
        <v>6359</v>
      </c>
      <c r="E2358" s="5" t="s">
        <v>2385</v>
      </c>
      <c r="F2358" s="5" t="s">
        <v>16</v>
      </c>
      <c r="G2358" s="5" t="s">
        <v>36</v>
      </c>
      <c r="H2358" s="5"/>
      <c r="I2358" s="5"/>
      <c r="J2358" s="5" t="s">
        <v>19</v>
      </c>
      <c r="K2358" s="5"/>
      <c r="L2358" s="5" t="s">
        <v>6360</v>
      </c>
    </row>
    <row r="2359" customFormat="false" ht="13.35" hidden="false" customHeight="true" outlineLevel="0" collapsed="false">
      <c r="A2359" s="5" t="str">
        <f aca="false">HYPERLINK("https://www.fabsurplus.com/sdi_catalog/salesItemDetails.do?id=102912")</f>
        <v>https://www.fabsurplus.com/sdi_catalog/salesItemDetails.do?id=102912</v>
      </c>
      <c r="B2359" s="5" t="s">
        <v>6363</v>
      </c>
      <c r="C2359" s="5" t="s">
        <v>6261</v>
      </c>
      <c r="D2359" s="5" t="s">
        <v>6359</v>
      </c>
      <c r="E2359" s="5" t="s">
        <v>2385</v>
      </c>
      <c r="F2359" s="5" t="s">
        <v>16</v>
      </c>
      <c r="G2359" s="5" t="s">
        <v>36</v>
      </c>
      <c r="H2359" s="5"/>
      <c r="I2359" s="5"/>
      <c r="J2359" s="5" t="s">
        <v>19</v>
      </c>
      <c r="K2359" s="5"/>
      <c r="L2359" s="5" t="s">
        <v>6360</v>
      </c>
    </row>
    <row r="2360" customFormat="false" ht="13.35" hidden="false" customHeight="true" outlineLevel="0" collapsed="false">
      <c r="A2360" s="2" t="str">
        <f aca="false">HYPERLINK("https://www.fabsurplus.com/sdi_catalog/salesItemDetails.do?id=102913")</f>
        <v>https://www.fabsurplus.com/sdi_catalog/salesItemDetails.do?id=102913</v>
      </c>
      <c r="B2360" s="2" t="s">
        <v>6364</v>
      </c>
      <c r="C2360" s="2" t="s">
        <v>6261</v>
      </c>
      <c r="D2360" s="2" t="s">
        <v>6359</v>
      </c>
      <c r="E2360" s="2" t="s">
        <v>2385</v>
      </c>
      <c r="F2360" s="2" t="s">
        <v>16</v>
      </c>
      <c r="G2360" s="2" t="s">
        <v>36</v>
      </c>
      <c r="H2360" s="2"/>
      <c r="I2360" s="2"/>
      <c r="J2360" s="2" t="s">
        <v>19</v>
      </c>
      <c r="K2360" s="2"/>
      <c r="L2360" s="2" t="s">
        <v>6360</v>
      </c>
    </row>
    <row r="2361" customFormat="false" ht="13.35" hidden="false" customHeight="true" outlineLevel="0" collapsed="false">
      <c r="A2361" s="5" t="str">
        <f aca="false">HYPERLINK("https://www.fabsurplus.com/sdi_catalog/salesItemDetails.do?id=102914")</f>
        <v>https://www.fabsurplus.com/sdi_catalog/salesItemDetails.do?id=102914</v>
      </c>
      <c r="B2361" s="5" t="s">
        <v>6365</v>
      </c>
      <c r="C2361" s="5" t="s">
        <v>6261</v>
      </c>
      <c r="D2361" s="5" t="s">
        <v>6359</v>
      </c>
      <c r="E2361" s="5" t="s">
        <v>2385</v>
      </c>
      <c r="F2361" s="5" t="s">
        <v>16</v>
      </c>
      <c r="G2361" s="5" t="s">
        <v>36</v>
      </c>
      <c r="H2361" s="5"/>
      <c r="I2361" s="5"/>
      <c r="J2361" s="5" t="s">
        <v>19</v>
      </c>
      <c r="K2361" s="5"/>
      <c r="L2361" s="5" t="s">
        <v>6360</v>
      </c>
    </row>
    <row r="2362" customFormat="false" ht="13.35" hidden="false" customHeight="true" outlineLevel="0" collapsed="false">
      <c r="A2362" s="2" t="str">
        <f aca="false">HYPERLINK("https://www.fabsurplus.com/sdi_catalog/salesItemDetails.do?id=102915")</f>
        <v>https://www.fabsurplus.com/sdi_catalog/salesItemDetails.do?id=102915</v>
      </c>
      <c r="B2362" s="2" t="s">
        <v>6366</v>
      </c>
      <c r="C2362" s="2" t="s">
        <v>6261</v>
      </c>
      <c r="D2362" s="2" t="s">
        <v>6359</v>
      </c>
      <c r="E2362" s="2" t="s">
        <v>2385</v>
      </c>
      <c r="F2362" s="2" t="s">
        <v>16</v>
      </c>
      <c r="G2362" s="2" t="s">
        <v>36</v>
      </c>
      <c r="H2362" s="2"/>
      <c r="I2362" s="2"/>
      <c r="J2362" s="2" t="s">
        <v>19</v>
      </c>
      <c r="K2362" s="2"/>
      <c r="L2362" s="2" t="s">
        <v>6367</v>
      </c>
    </row>
    <row r="2363" customFormat="false" ht="13.35" hidden="false" customHeight="true" outlineLevel="0" collapsed="false">
      <c r="A2363" s="5" t="str">
        <f aca="false">HYPERLINK("https://www.fabsurplus.com/sdi_catalog/salesItemDetails.do?id=102916")</f>
        <v>https://www.fabsurplus.com/sdi_catalog/salesItemDetails.do?id=102916</v>
      </c>
      <c r="B2363" s="5" t="s">
        <v>6368</v>
      </c>
      <c r="C2363" s="5" t="s">
        <v>6261</v>
      </c>
      <c r="D2363" s="5" t="s">
        <v>6359</v>
      </c>
      <c r="E2363" s="5" t="s">
        <v>6369</v>
      </c>
      <c r="F2363" s="5" t="s">
        <v>16</v>
      </c>
      <c r="G2363" s="5" t="s">
        <v>36</v>
      </c>
      <c r="H2363" s="5"/>
      <c r="I2363" s="5"/>
      <c r="J2363" s="5" t="s">
        <v>19</v>
      </c>
      <c r="K2363" s="5"/>
      <c r="L2363" s="5" t="s">
        <v>6370</v>
      </c>
    </row>
    <row r="2364" customFormat="false" ht="13.35" hidden="false" customHeight="true" outlineLevel="0" collapsed="false">
      <c r="A2364" s="5" t="str">
        <f aca="false">HYPERLINK("https://www.fabsurplus.com/sdi_catalog/salesItemDetails.do?id=102917")</f>
        <v>https://www.fabsurplus.com/sdi_catalog/salesItemDetails.do?id=102917</v>
      </c>
      <c r="B2364" s="5" t="s">
        <v>6371</v>
      </c>
      <c r="C2364" s="5" t="s">
        <v>6261</v>
      </c>
      <c r="D2364" s="5" t="s">
        <v>6359</v>
      </c>
      <c r="E2364" s="5" t="s">
        <v>6369</v>
      </c>
      <c r="F2364" s="5" t="s">
        <v>16</v>
      </c>
      <c r="G2364" s="5" t="s">
        <v>36</v>
      </c>
      <c r="H2364" s="5"/>
      <c r="I2364" s="5"/>
      <c r="J2364" s="5" t="s">
        <v>19</v>
      </c>
      <c r="K2364" s="5"/>
      <c r="L2364" s="5" t="s">
        <v>6372</v>
      </c>
    </row>
    <row r="2365" customFormat="false" ht="13.35" hidden="false" customHeight="true" outlineLevel="0" collapsed="false">
      <c r="A2365" s="5" t="str">
        <f aca="false">HYPERLINK("https://www.fabsurplus.com/sdi_catalog/salesItemDetails.do?id=102918")</f>
        <v>https://www.fabsurplus.com/sdi_catalog/salesItemDetails.do?id=102918</v>
      </c>
      <c r="B2365" s="5" t="s">
        <v>6373</v>
      </c>
      <c r="C2365" s="5" t="s">
        <v>6261</v>
      </c>
      <c r="D2365" s="5" t="s">
        <v>6359</v>
      </c>
      <c r="E2365" s="5" t="s">
        <v>6369</v>
      </c>
      <c r="F2365" s="5" t="s">
        <v>16</v>
      </c>
      <c r="G2365" s="5" t="s">
        <v>36</v>
      </c>
      <c r="H2365" s="5"/>
      <c r="I2365" s="5"/>
      <c r="J2365" s="5" t="s">
        <v>19</v>
      </c>
      <c r="K2365" s="5"/>
      <c r="L2365" s="5" t="s">
        <v>6372</v>
      </c>
    </row>
    <row r="2366" customFormat="false" ht="13.35" hidden="false" customHeight="true" outlineLevel="0" collapsed="false">
      <c r="A2366" s="5" t="str">
        <f aca="false">HYPERLINK("https://www.fabsurplus.com/sdi_catalog/salesItemDetails.do?id=102919")</f>
        <v>https://www.fabsurplus.com/sdi_catalog/salesItemDetails.do?id=102919</v>
      </c>
      <c r="B2366" s="5" t="s">
        <v>6374</v>
      </c>
      <c r="C2366" s="5" t="s">
        <v>6261</v>
      </c>
      <c r="D2366" s="5" t="s">
        <v>6359</v>
      </c>
      <c r="E2366" s="5" t="s">
        <v>6369</v>
      </c>
      <c r="F2366" s="5" t="s">
        <v>16</v>
      </c>
      <c r="G2366" s="5" t="s">
        <v>36</v>
      </c>
      <c r="H2366" s="5"/>
      <c r="I2366" s="5"/>
      <c r="J2366" s="5" t="s">
        <v>19</v>
      </c>
      <c r="K2366" s="5"/>
      <c r="L2366" s="5" t="s">
        <v>6372</v>
      </c>
    </row>
    <row r="2367" customFormat="false" ht="13.35" hidden="false" customHeight="true" outlineLevel="0" collapsed="false">
      <c r="A2367" s="5" t="str">
        <f aca="false">HYPERLINK("https://www.fabsurplus.com/sdi_catalog/salesItemDetails.do?id=102920")</f>
        <v>https://www.fabsurplus.com/sdi_catalog/salesItemDetails.do?id=102920</v>
      </c>
      <c r="B2367" s="5" t="s">
        <v>6375</v>
      </c>
      <c r="C2367" s="5" t="s">
        <v>6261</v>
      </c>
      <c r="D2367" s="5" t="s">
        <v>6359</v>
      </c>
      <c r="E2367" s="5" t="s">
        <v>6369</v>
      </c>
      <c r="F2367" s="5" t="s">
        <v>16</v>
      </c>
      <c r="G2367" s="5" t="s">
        <v>36</v>
      </c>
      <c r="H2367" s="5"/>
      <c r="I2367" s="5"/>
      <c r="J2367" s="5" t="s">
        <v>19</v>
      </c>
      <c r="K2367" s="5"/>
      <c r="L2367" s="5" t="s">
        <v>6376</v>
      </c>
    </row>
    <row r="2368" customFormat="false" ht="13.35" hidden="false" customHeight="true" outlineLevel="0" collapsed="false">
      <c r="A2368" s="5" t="str">
        <f aca="false">HYPERLINK("https://www.fabsurplus.com/sdi_catalog/salesItemDetails.do?id=102921")</f>
        <v>https://www.fabsurplus.com/sdi_catalog/salesItemDetails.do?id=102921</v>
      </c>
      <c r="B2368" s="5" t="s">
        <v>6377</v>
      </c>
      <c r="C2368" s="5" t="s">
        <v>6261</v>
      </c>
      <c r="D2368" s="5" t="s">
        <v>6359</v>
      </c>
      <c r="E2368" s="5" t="s">
        <v>6369</v>
      </c>
      <c r="F2368" s="5" t="s">
        <v>16</v>
      </c>
      <c r="G2368" s="5" t="s">
        <v>36</v>
      </c>
      <c r="H2368" s="5"/>
      <c r="I2368" s="5"/>
      <c r="J2368" s="5" t="s">
        <v>19</v>
      </c>
      <c r="K2368" s="5"/>
      <c r="L2368" s="5" t="s">
        <v>6376</v>
      </c>
    </row>
    <row r="2369" customFormat="false" ht="13.35" hidden="false" customHeight="true" outlineLevel="0" collapsed="false">
      <c r="A2369" s="2" t="str">
        <f aca="false">HYPERLINK("https://www.fabsurplus.com/sdi_catalog/salesItemDetails.do?id=102922")</f>
        <v>https://www.fabsurplus.com/sdi_catalog/salesItemDetails.do?id=102922</v>
      </c>
      <c r="B2369" s="2" t="s">
        <v>6378</v>
      </c>
      <c r="C2369" s="2" t="s">
        <v>6261</v>
      </c>
      <c r="D2369" s="2" t="s">
        <v>6359</v>
      </c>
      <c r="E2369" s="2" t="s">
        <v>6369</v>
      </c>
      <c r="F2369" s="2" t="s">
        <v>16</v>
      </c>
      <c r="G2369" s="2" t="s">
        <v>36</v>
      </c>
      <c r="H2369" s="2"/>
      <c r="I2369" s="2"/>
      <c r="J2369" s="2" t="s">
        <v>19</v>
      </c>
      <c r="K2369" s="2"/>
      <c r="L2369" s="2" t="s">
        <v>6376</v>
      </c>
    </row>
    <row r="2370" customFormat="false" ht="13.35" hidden="false" customHeight="true" outlineLevel="0" collapsed="false">
      <c r="A2370" s="5" t="str">
        <f aca="false">HYPERLINK("https://www.fabsurplus.com/sdi_catalog/salesItemDetails.do?id=102923")</f>
        <v>https://www.fabsurplus.com/sdi_catalog/salesItemDetails.do?id=102923</v>
      </c>
      <c r="B2370" s="5" t="s">
        <v>6379</v>
      </c>
      <c r="C2370" s="5" t="s">
        <v>6261</v>
      </c>
      <c r="D2370" s="5" t="s">
        <v>6359</v>
      </c>
      <c r="E2370" s="5" t="s">
        <v>6369</v>
      </c>
      <c r="F2370" s="5" t="s">
        <v>16</v>
      </c>
      <c r="G2370" s="5" t="s">
        <v>36</v>
      </c>
      <c r="H2370" s="5"/>
      <c r="I2370" s="5"/>
      <c r="J2370" s="5" t="s">
        <v>19</v>
      </c>
      <c r="K2370" s="5"/>
      <c r="L2370" s="5" t="s">
        <v>6376</v>
      </c>
    </row>
    <row r="2371" customFormat="false" ht="13.35" hidden="false" customHeight="true" outlineLevel="0" collapsed="false">
      <c r="A2371" s="2" t="str">
        <f aca="false">HYPERLINK("https://www.fabsurplus.com/sdi_catalog/salesItemDetails.do?id=102924")</f>
        <v>https://www.fabsurplus.com/sdi_catalog/salesItemDetails.do?id=102924</v>
      </c>
      <c r="B2371" s="2" t="s">
        <v>6380</v>
      </c>
      <c r="C2371" s="2" t="s">
        <v>6261</v>
      </c>
      <c r="D2371" s="2" t="s">
        <v>6359</v>
      </c>
      <c r="E2371" s="2" t="s">
        <v>2371</v>
      </c>
      <c r="F2371" s="2" t="s">
        <v>16</v>
      </c>
      <c r="G2371" s="2" t="s">
        <v>36</v>
      </c>
      <c r="H2371" s="2"/>
      <c r="I2371" s="3" t="n">
        <v>35582</v>
      </c>
      <c r="J2371" s="2" t="s">
        <v>19</v>
      </c>
      <c r="K2371" s="2"/>
      <c r="L2371" s="2" t="s">
        <v>6381</v>
      </c>
    </row>
    <row r="2372" customFormat="false" ht="13.35" hidden="false" customHeight="true" outlineLevel="0" collapsed="false">
      <c r="A2372" s="2" t="str">
        <f aca="false">HYPERLINK("https://www.fabsurplus.com/sdi_catalog/salesItemDetails.do?id=102925")</f>
        <v>https://www.fabsurplus.com/sdi_catalog/salesItemDetails.do?id=102925</v>
      </c>
      <c r="B2372" s="2" t="s">
        <v>6382</v>
      </c>
      <c r="C2372" s="2" t="s">
        <v>6261</v>
      </c>
      <c r="D2372" s="2" t="s">
        <v>6359</v>
      </c>
      <c r="E2372" s="2" t="s">
        <v>2371</v>
      </c>
      <c r="F2372" s="2" t="s">
        <v>16</v>
      </c>
      <c r="G2372" s="2" t="s">
        <v>36</v>
      </c>
      <c r="H2372" s="2"/>
      <c r="I2372" s="3" t="n">
        <v>36678</v>
      </c>
      <c r="J2372" s="2" t="s">
        <v>19</v>
      </c>
      <c r="K2372" s="2"/>
      <c r="L2372" s="2" t="s">
        <v>6383</v>
      </c>
    </row>
    <row r="2373" customFormat="false" ht="13.35" hidden="false" customHeight="true" outlineLevel="0" collapsed="false">
      <c r="A2373" s="2" t="str">
        <f aca="false">HYPERLINK("https://www.fabsurplus.com/sdi_catalog/salesItemDetails.do?id=102926")</f>
        <v>https://www.fabsurplus.com/sdi_catalog/salesItemDetails.do?id=102926</v>
      </c>
      <c r="B2373" s="2" t="s">
        <v>6384</v>
      </c>
      <c r="C2373" s="2" t="s">
        <v>6261</v>
      </c>
      <c r="D2373" s="2" t="s">
        <v>6359</v>
      </c>
      <c r="E2373" s="2" t="s">
        <v>2371</v>
      </c>
      <c r="F2373" s="2" t="s">
        <v>16</v>
      </c>
      <c r="G2373" s="2" t="s">
        <v>36</v>
      </c>
      <c r="H2373" s="2"/>
      <c r="I2373" s="2"/>
      <c r="J2373" s="2" t="s">
        <v>19</v>
      </c>
      <c r="K2373" s="2"/>
      <c r="L2373" s="2" t="s">
        <v>6383</v>
      </c>
    </row>
    <row r="2374" customFormat="false" ht="13.35" hidden="false" customHeight="true" outlineLevel="0" collapsed="false">
      <c r="A2374" s="2" t="str">
        <f aca="false">HYPERLINK("https://www.fabsurplus.com/sdi_catalog/salesItemDetails.do?id=102927")</f>
        <v>https://www.fabsurplus.com/sdi_catalog/salesItemDetails.do?id=102927</v>
      </c>
      <c r="B2374" s="2" t="s">
        <v>6385</v>
      </c>
      <c r="C2374" s="2" t="s">
        <v>6261</v>
      </c>
      <c r="D2374" s="2" t="s">
        <v>6359</v>
      </c>
      <c r="E2374" s="2" t="s">
        <v>2371</v>
      </c>
      <c r="F2374" s="2" t="s">
        <v>16</v>
      </c>
      <c r="G2374" s="2" t="s">
        <v>36</v>
      </c>
      <c r="H2374" s="2"/>
      <c r="I2374" s="2"/>
      <c r="J2374" s="2" t="s">
        <v>19</v>
      </c>
      <c r="K2374" s="2"/>
      <c r="L2374" s="2" t="s">
        <v>6383</v>
      </c>
    </row>
    <row r="2375" customFormat="false" ht="13.35" hidden="false" customHeight="true" outlineLevel="0" collapsed="false">
      <c r="A2375" s="2" t="str">
        <f aca="false">HYPERLINK("https://www.fabsurplus.com/sdi_catalog/salesItemDetails.do?id=102928")</f>
        <v>https://www.fabsurplus.com/sdi_catalog/salesItemDetails.do?id=102928</v>
      </c>
      <c r="B2375" s="2" t="s">
        <v>6386</v>
      </c>
      <c r="C2375" s="2" t="s">
        <v>6261</v>
      </c>
      <c r="D2375" s="2" t="s">
        <v>6359</v>
      </c>
      <c r="E2375" s="2" t="s">
        <v>2371</v>
      </c>
      <c r="F2375" s="2" t="s">
        <v>16</v>
      </c>
      <c r="G2375" s="2" t="s">
        <v>36</v>
      </c>
      <c r="H2375" s="2"/>
      <c r="I2375" s="2"/>
      <c r="J2375" s="2" t="s">
        <v>19</v>
      </c>
      <c r="K2375" s="2"/>
      <c r="L2375" s="2" t="s">
        <v>6387</v>
      </c>
    </row>
    <row r="2376" customFormat="false" ht="13.35" hidden="false" customHeight="true" outlineLevel="0" collapsed="false">
      <c r="A2376" s="5" t="str">
        <f aca="false">HYPERLINK("https://www.fabsurplus.com/sdi_catalog/salesItemDetails.do?id=102929")</f>
        <v>https://www.fabsurplus.com/sdi_catalog/salesItemDetails.do?id=102929</v>
      </c>
      <c r="B2376" s="5" t="s">
        <v>6388</v>
      </c>
      <c r="C2376" s="5" t="s">
        <v>6261</v>
      </c>
      <c r="D2376" s="5" t="s">
        <v>6359</v>
      </c>
      <c r="E2376" s="5" t="s">
        <v>2371</v>
      </c>
      <c r="F2376" s="5" t="s">
        <v>16</v>
      </c>
      <c r="G2376" s="5" t="s">
        <v>36</v>
      </c>
      <c r="H2376" s="5"/>
      <c r="I2376" s="5"/>
      <c r="J2376" s="5" t="s">
        <v>19</v>
      </c>
      <c r="K2376" s="5"/>
      <c r="L2376" s="5" t="s">
        <v>6389</v>
      </c>
    </row>
    <row r="2377" customFormat="false" ht="13.35" hidden="false" customHeight="true" outlineLevel="0" collapsed="false">
      <c r="A2377" s="2" t="str">
        <f aca="false">HYPERLINK("https://www.fabsurplus.com/sdi_catalog/salesItemDetails.do?id=102930")</f>
        <v>https://www.fabsurplus.com/sdi_catalog/salesItemDetails.do?id=102930</v>
      </c>
      <c r="B2377" s="2" t="s">
        <v>6390</v>
      </c>
      <c r="C2377" s="2" t="s">
        <v>6261</v>
      </c>
      <c r="D2377" s="2" t="s">
        <v>6359</v>
      </c>
      <c r="E2377" s="2" t="s">
        <v>2371</v>
      </c>
      <c r="F2377" s="2" t="s">
        <v>16</v>
      </c>
      <c r="G2377" s="2" t="s">
        <v>36</v>
      </c>
      <c r="H2377" s="2"/>
      <c r="I2377" s="2"/>
      <c r="J2377" s="2" t="s">
        <v>19</v>
      </c>
      <c r="K2377" s="2"/>
      <c r="L2377" s="2" t="s">
        <v>6389</v>
      </c>
    </row>
    <row r="2378" customFormat="false" ht="13.35" hidden="false" customHeight="true" outlineLevel="0" collapsed="false">
      <c r="A2378" s="5" t="str">
        <f aca="false">HYPERLINK("https://www.fabsurplus.com/sdi_catalog/salesItemDetails.do?id=102931")</f>
        <v>https://www.fabsurplus.com/sdi_catalog/salesItemDetails.do?id=102931</v>
      </c>
      <c r="B2378" s="5" t="s">
        <v>6391</v>
      </c>
      <c r="C2378" s="5" t="s">
        <v>6261</v>
      </c>
      <c r="D2378" s="5" t="s">
        <v>6359</v>
      </c>
      <c r="E2378" s="5" t="s">
        <v>2371</v>
      </c>
      <c r="F2378" s="5" t="s">
        <v>16</v>
      </c>
      <c r="G2378" s="5" t="s">
        <v>36</v>
      </c>
      <c r="H2378" s="5"/>
      <c r="I2378" s="5"/>
      <c r="J2378" s="5" t="s">
        <v>19</v>
      </c>
      <c r="K2378" s="5"/>
      <c r="L2378" s="5" t="s">
        <v>6389</v>
      </c>
    </row>
    <row r="2379" customFormat="false" ht="13.35" hidden="false" customHeight="true" outlineLevel="0" collapsed="false">
      <c r="A2379" s="5" t="str">
        <f aca="false">HYPERLINK("https://www.fabsurplus.com/sdi_catalog/salesItemDetails.do?id=102932")</f>
        <v>https://www.fabsurplus.com/sdi_catalog/salesItemDetails.do?id=102932</v>
      </c>
      <c r="B2379" s="5" t="s">
        <v>6392</v>
      </c>
      <c r="C2379" s="5" t="s">
        <v>6261</v>
      </c>
      <c r="D2379" s="5" t="s">
        <v>6359</v>
      </c>
      <c r="E2379" s="5" t="s">
        <v>2371</v>
      </c>
      <c r="F2379" s="5" t="s">
        <v>16</v>
      </c>
      <c r="G2379" s="5" t="s">
        <v>36</v>
      </c>
      <c r="H2379" s="5"/>
      <c r="I2379" s="5"/>
      <c r="J2379" s="5" t="s">
        <v>19</v>
      </c>
      <c r="K2379" s="5"/>
      <c r="L2379" s="5" t="s">
        <v>6389</v>
      </c>
    </row>
    <row r="2380" customFormat="false" ht="13.35" hidden="false" customHeight="true" outlineLevel="0" collapsed="false">
      <c r="A2380" s="2" t="str">
        <f aca="false">HYPERLINK("https://www.fabsurplus.com/sdi_catalog/salesItemDetails.do?id=102933")</f>
        <v>https://www.fabsurplus.com/sdi_catalog/salesItemDetails.do?id=102933</v>
      </c>
      <c r="B2380" s="2" t="s">
        <v>6393</v>
      </c>
      <c r="C2380" s="2" t="s">
        <v>6261</v>
      </c>
      <c r="D2380" s="2" t="s">
        <v>6359</v>
      </c>
      <c r="E2380" s="2" t="s">
        <v>2371</v>
      </c>
      <c r="F2380" s="2" t="s">
        <v>16</v>
      </c>
      <c r="G2380" s="2" t="s">
        <v>36</v>
      </c>
      <c r="H2380" s="2"/>
      <c r="I2380" s="2"/>
      <c r="J2380" s="2" t="s">
        <v>19</v>
      </c>
      <c r="K2380" s="2"/>
      <c r="L2380" s="2" t="s">
        <v>6389</v>
      </c>
    </row>
    <row r="2381" customFormat="false" ht="13.35" hidden="false" customHeight="true" outlineLevel="0" collapsed="false">
      <c r="A2381" s="5" t="str">
        <f aca="false">HYPERLINK("https://www.fabsurplus.com/sdi_catalog/salesItemDetails.do?id=102934")</f>
        <v>https://www.fabsurplus.com/sdi_catalog/salesItemDetails.do?id=102934</v>
      </c>
      <c r="B2381" s="5" t="s">
        <v>6394</v>
      </c>
      <c r="C2381" s="5" t="s">
        <v>6261</v>
      </c>
      <c r="D2381" s="5" t="s">
        <v>6359</v>
      </c>
      <c r="E2381" s="5" t="s">
        <v>2371</v>
      </c>
      <c r="F2381" s="5" t="s">
        <v>16</v>
      </c>
      <c r="G2381" s="5" t="s">
        <v>36</v>
      </c>
      <c r="H2381" s="5"/>
      <c r="I2381" s="5"/>
      <c r="J2381" s="5" t="s">
        <v>19</v>
      </c>
      <c r="K2381" s="5"/>
      <c r="L2381" s="5" t="s">
        <v>6389</v>
      </c>
    </row>
    <row r="2382" customFormat="false" ht="13.35" hidden="false" customHeight="true" outlineLevel="0" collapsed="false">
      <c r="A2382" s="5" t="str">
        <f aca="false">HYPERLINK("https://www.fabsurplus.com/sdi_catalog/salesItemDetails.do?id=102935")</f>
        <v>https://www.fabsurplus.com/sdi_catalog/salesItemDetails.do?id=102935</v>
      </c>
      <c r="B2382" s="5" t="s">
        <v>6395</v>
      </c>
      <c r="C2382" s="5" t="s">
        <v>6261</v>
      </c>
      <c r="D2382" s="5" t="s">
        <v>6359</v>
      </c>
      <c r="E2382" s="5" t="s">
        <v>2371</v>
      </c>
      <c r="F2382" s="5" t="s">
        <v>16</v>
      </c>
      <c r="G2382" s="5" t="s">
        <v>36</v>
      </c>
      <c r="H2382" s="5"/>
      <c r="I2382" s="5"/>
      <c r="J2382" s="5" t="s">
        <v>19</v>
      </c>
      <c r="K2382" s="5"/>
      <c r="L2382" s="5" t="s">
        <v>6396</v>
      </c>
    </row>
    <row r="2383" customFormat="false" ht="13.35" hidden="false" customHeight="true" outlineLevel="0" collapsed="false">
      <c r="A2383" s="2" t="str">
        <f aca="false">HYPERLINK("https://www.fabsurplus.com/sdi_catalog/salesItemDetails.do?id=102936")</f>
        <v>https://www.fabsurplus.com/sdi_catalog/salesItemDetails.do?id=102936</v>
      </c>
      <c r="B2383" s="2" t="s">
        <v>6397</v>
      </c>
      <c r="C2383" s="2" t="s">
        <v>6261</v>
      </c>
      <c r="D2383" s="2" t="s">
        <v>6359</v>
      </c>
      <c r="E2383" s="2" t="s">
        <v>2371</v>
      </c>
      <c r="F2383" s="2" t="s">
        <v>16</v>
      </c>
      <c r="G2383" s="2" t="s">
        <v>36</v>
      </c>
      <c r="H2383" s="2"/>
      <c r="I2383" s="2"/>
      <c r="J2383" s="2" t="s">
        <v>19</v>
      </c>
      <c r="K2383" s="2"/>
      <c r="L2383" s="2" t="s">
        <v>6396</v>
      </c>
    </row>
    <row r="2384" customFormat="false" ht="13.35" hidden="false" customHeight="true" outlineLevel="0" collapsed="false">
      <c r="A2384" s="5" t="str">
        <f aca="false">HYPERLINK("https://www.fabsurplus.com/sdi_catalog/salesItemDetails.do?id=102937")</f>
        <v>https://www.fabsurplus.com/sdi_catalog/salesItemDetails.do?id=102937</v>
      </c>
      <c r="B2384" s="5" t="s">
        <v>6398</v>
      </c>
      <c r="C2384" s="5" t="s">
        <v>6261</v>
      </c>
      <c r="D2384" s="5" t="s">
        <v>6359</v>
      </c>
      <c r="E2384" s="5" t="s">
        <v>2371</v>
      </c>
      <c r="F2384" s="5" t="s">
        <v>16</v>
      </c>
      <c r="G2384" s="5" t="s">
        <v>36</v>
      </c>
      <c r="H2384" s="5"/>
      <c r="I2384" s="5"/>
      <c r="J2384" s="5" t="s">
        <v>19</v>
      </c>
      <c r="K2384" s="5"/>
      <c r="L2384" s="5" t="s">
        <v>6396</v>
      </c>
    </row>
    <row r="2385" customFormat="false" ht="13.35" hidden="false" customHeight="true" outlineLevel="0" collapsed="false">
      <c r="A2385" s="2" t="str">
        <f aca="false">HYPERLINK("https://www.fabsurplus.com/sdi_catalog/salesItemDetails.do?id=102938")</f>
        <v>https://www.fabsurplus.com/sdi_catalog/salesItemDetails.do?id=102938</v>
      </c>
      <c r="B2385" s="2" t="s">
        <v>6399</v>
      </c>
      <c r="C2385" s="2" t="s">
        <v>6261</v>
      </c>
      <c r="D2385" s="2" t="s">
        <v>6400</v>
      </c>
      <c r="E2385" s="2" t="s">
        <v>2385</v>
      </c>
      <c r="F2385" s="2" t="s">
        <v>16</v>
      </c>
      <c r="G2385" s="2" t="s">
        <v>36</v>
      </c>
      <c r="H2385" s="2"/>
      <c r="I2385" s="3" t="n">
        <v>35217</v>
      </c>
      <c r="J2385" s="2" t="s">
        <v>19</v>
      </c>
      <c r="K2385" s="2"/>
      <c r="L2385" s="2" t="s">
        <v>6401</v>
      </c>
    </row>
    <row r="2386" customFormat="false" ht="13.35" hidden="false" customHeight="true" outlineLevel="0" collapsed="false">
      <c r="A2386" s="5" t="str">
        <f aca="false">HYPERLINK("https://www.fabsurplus.com/sdi_catalog/salesItemDetails.do?id=102939")</f>
        <v>https://www.fabsurplus.com/sdi_catalog/salesItemDetails.do?id=102939</v>
      </c>
      <c r="B2386" s="5" t="s">
        <v>6402</v>
      </c>
      <c r="C2386" s="5" t="s">
        <v>6261</v>
      </c>
      <c r="D2386" s="5" t="s">
        <v>6400</v>
      </c>
      <c r="E2386" s="5" t="s">
        <v>2385</v>
      </c>
      <c r="F2386" s="5" t="s">
        <v>16</v>
      </c>
      <c r="G2386" s="5" t="s">
        <v>36</v>
      </c>
      <c r="H2386" s="5" t="s">
        <v>26</v>
      </c>
      <c r="I2386" s="6" t="n">
        <v>35217</v>
      </c>
      <c r="J2386" s="5" t="s">
        <v>19</v>
      </c>
      <c r="K2386" s="5" t="s">
        <v>20</v>
      </c>
      <c r="L2386" s="5" t="s">
        <v>6401</v>
      </c>
    </row>
    <row r="2387" customFormat="false" ht="13.35" hidden="false" customHeight="true" outlineLevel="0" collapsed="false">
      <c r="A2387" s="5" t="str">
        <f aca="false">HYPERLINK("https://www.fabsurplus.com/sdi_catalog/salesItemDetails.do?id=102940")</f>
        <v>https://www.fabsurplus.com/sdi_catalog/salesItemDetails.do?id=102940</v>
      </c>
      <c r="B2387" s="5" t="s">
        <v>6403</v>
      </c>
      <c r="C2387" s="5" t="s">
        <v>6261</v>
      </c>
      <c r="D2387" s="5" t="s">
        <v>6400</v>
      </c>
      <c r="E2387" s="5" t="s">
        <v>2385</v>
      </c>
      <c r="F2387" s="5" t="s">
        <v>16</v>
      </c>
      <c r="G2387" s="5" t="s">
        <v>36</v>
      </c>
      <c r="H2387" s="5"/>
      <c r="I2387" s="6" t="n">
        <v>35217</v>
      </c>
      <c r="J2387" s="5" t="s">
        <v>19</v>
      </c>
      <c r="K2387" s="5"/>
      <c r="L2387" s="5" t="s">
        <v>6404</v>
      </c>
    </row>
    <row r="2388" customFormat="false" ht="13.35" hidden="false" customHeight="true" outlineLevel="0" collapsed="false">
      <c r="A2388" s="5" t="str">
        <f aca="false">HYPERLINK("https://www.fabsurplus.com/sdi_catalog/salesItemDetails.do?id=101703")</f>
        <v>https://www.fabsurplus.com/sdi_catalog/salesItemDetails.do?id=101703</v>
      </c>
      <c r="B2388" s="5" t="s">
        <v>6405</v>
      </c>
      <c r="C2388" s="5" t="s">
        <v>6261</v>
      </c>
      <c r="D2388" s="5" t="s">
        <v>6406</v>
      </c>
      <c r="E2388" s="5" t="s">
        <v>6407</v>
      </c>
      <c r="F2388" s="5" t="s">
        <v>16</v>
      </c>
      <c r="G2388" s="5" t="s">
        <v>4879</v>
      </c>
      <c r="H2388" s="5" t="s">
        <v>18</v>
      </c>
      <c r="I2388" s="6" t="n">
        <v>37408</v>
      </c>
      <c r="J2388" s="5" t="s">
        <v>19</v>
      </c>
      <c r="K2388" s="5" t="s">
        <v>20</v>
      </c>
      <c r="L2388" s="7" t="s">
        <v>6408</v>
      </c>
    </row>
    <row r="2389" customFormat="false" ht="13.35" hidden="false" customHeight="true" outlineLevel="0" collapsed="false">
      <c r="A2389" s="2" t="str">
        <f aca="false">HYPERLINK("https://www.fabsurplus.com/sdi_catalog/salesItemDetails.do?id=102574")</f>
        <v>https://www.fabsurplus.com/sdi_catalog/salesItemDetails.do?id=102574</v>
      </c>
      <c r="B2389" s="2" t="s">
        <v>6409</v>
      </c>
      <c r="C2389" s="2" t="s">
        <v>6261</v>
      </c>
      <c r="D2389" s="2" t="s">
        <v>6410</v>
      </c>
      <c r="E2389" s="2" t="s">
        <v>6411</v>
      </c>
      <c r="F2389" s="2" t="s">
        <v>16</v>
      </c>
      <c r="G2389" s="2"/>
      <c r="H2389" s="2"/>
      <c r="I2389" s="2"/>
      <c r="J2389" s="2" t="s">
        <v>47</v>
      </c>
      <c r="K2389" s="2"/>
      <c r="L2389" s="2"/>
    </row>
    <row r="2390" customFormat="false" ht="13.35" hidden="false" customHeight="true" outlineLevel="0" collapsed="false">
      <c r="A2390" s="5" t="str">
        <f aca="false">HYPERLINK("https://www.fabsurplus.com/sdi_catalog/salesItemDetails.do?id=102575")</f>
        <v>https://www.fabsurplus.com/sdi_catalog/salesItemDetails.do?id=102575</v>
      </c>
      <c r="B2390" s="5" t="s">
        <v>6412</v>
      </c>
      <c r="C2390" s="5" t="s">
        <v>6261</v>
      </c>
      <c r="D2390" s="5" t="s">
        <v>6413</v>
      </c>
      <c r="E2390" s="5" t="s">
        <v>6411</v>
      </c>
      <c r="F2390" s="5" t="s">
        <v>125</v>
      </c>
      <c r="G2390" s="5"/>
      <c r="H2390" s="5"/>
      <c r="I2390" s="5"/>
      <c r="J2390" s="5" t="s">
        <v>47</v>
      </c>
      <c r="K2390" s="5"/>
      <c r="L2390" s="5"/>
    </row>
    <row r="2391" customFormat="false" ht="13.35" hidden="false" customHeight="true" outlineLevel="0" collapsed="false">
      <c r="A2391" s="2" t="str">
        <f aca="false">HYPERLINK("https://www.fabsurplus.com/sdi_catalog/salesItemDetails.do?id=102810")</f>
        <v>https://www.fabsurplus.com/sdi_catalog/salesItemDetails.do?id=102810</v>
      </c>
      <c r="B2391" s="2" t="s">
        <v>6414</v>
      </c>
      <c r="C2391" s="2" t="s">
        <v>6261</v>
      </c>
      <c r="D2391" s="2" t="s">
        <v>6415</v>
      </c>
      <c r="E2391" s="2" t="s">
        <v>6416</v>
      </c>
      <c r="F2391" s="2" t="s">
        <v>16</v>
      </c>
      <c r="G2391" s="2" t="s">
        <v>17</v>
      </c>
      <c r="H2391" s="2"/>
      <c r="I2391" s="3" t="n">
        <v>38504</v>
      </c>
      <c r="J2391" s="2" t="s">
        <v>19</v>
      </c>
      <c r="K2391" s="2"/>
      <c r="L2391" s="4" t="s">
        <v>6417</v>
      </c>
    </row>
    <row r="2392" customFormat="false" ht="13.35" hidden="false" customHeight="true" outlineLevel="0" collapsed="false">
      <c r="A2392" s="5" t="str">
        <f aca="false">HYPERLINK("https://www.fabsurplus.com/sdi_catalog/salesItemDetails.do?id=102403")</f>
        <v>https://www.fabsurplus.com/sdi_catalog/salesItemDetails.do?id=102403</v>
      </c>
      <c r="B2392" s="5" t="s">
        <v>6418</v>
      </c>
      <c r="C2392" s="5" t="s">
        <v>6261</v>
      </c>
      <c r="D2392" s="5" t="s">
        <v>6419</v>
      </c>
      <c r="E2392" s="5" t="s">
        <v>6420</v>
      </c>
      <c r="F2392" s="5" t="s">
        <v>16</v>
      </c>
      <c r="G2392" s="5" t="s">
        <v>17</v>
      </c>
      <c r="H2392" s="5"/>
      <c r="I2392" s="6" t="n">
        <v>39234</v>
      </c>
      <c r="J2392" s="5" t="s">
        <v>19</v>
      </c>
      <c r="K2392" s="5"/>
      <c r="L2392" s="5"/>
    </row>
    <row r="2393" customFormat="false" ht="13.35" hidden="false" customHeight="true" outlineLevel="0" collapsed="false">
      <c r="A2393" s="2" t="str">
        <f aca="false">HYPERLINK("https://www.fabsurplus.com/sdi_catalog/salesItemDetails.do?id=100933")</f>
        <v>https://www.fabsurplus.com/sdi_catalog/salesItemDetails.do?id=100933</v>
      </c>
      <c r="B2393" s="2" t="s">
        <v>6421</v>
      </c>
      <c r="C2393" s="2" t="s">
        <v>6261</v>
      </c>
      <c r="D2393" s="2" t="s">
        <v>6422</v>
      </c>
      <c r="E2393" s="2" t="s">
        <v>6423</v>
      </c>
      <c r="F2393" s="2" t="s">
        <v>16</v>
      </c>
      <c r="G2393" s="2" t="s">
        <v>17</v>
      </c>
      <c r="H2393" s="2"/>
      <c r="I2393" s="2"/>
      <c r="J2393" s="2" t="s">
        <v>19</v>
      </c>
      <c r="K2393" s="2"/>
      <c r="L2393" s="2" t="s">
        <v>618</v>
      </c>
    </row>
    <row r="2394" customFormat="false" ht="13.35" hidden="false" customHeight="true" outlineLevel="0" collapsed="false">
      <c r="A2394" s="5" t="str">
        <f aca="false">HYPERLINK("https://www.fabsurplus.com/sdi_catalog/salesItemDetails.do?id=100934")</f>
        <v>https://www.fabsurplus.com/sdi_catalog/salesItemDetails.do?id=100934</v>
      </c>
      <c r="B2394" s="5" t="s">
        <v>6424</v>
      </c>
      <c r="C2394" s="5" t="s">
        <v>6261</v>
      </c>
      <c r="D2394" s="5" t="s">
        <v>6422</v>
      </c>
      <c r="E2394" s="5" t="s">
        <v>6423</v>
      </c>
      <c r="F2394" s="5" t="s">
        <v>16</v>
      </c>
      <c r="G2394" s="5" t="s">
        <v>17</v>
      </c>
      <c r="H2394" s="5"/>
      <c r="I2394" s="5"/>
      <c r="J2394" s="5" t="s">
        <v>19</v>
      </c>
      <c r="K2394" s="5"/>
      <c r="L2394" s="5" t="s">
        <v>618</v>
      </c>
    </row>
    <row r="2395" customFormat="false" ht="13.35" hidden="false" customHeight="true" outlineLevel="0" collapsed="false">
      <c r="A2395" s="2" t="str">
        <f aca="false">HYPERLINK("https://www.fabsurplus.com/sdi_catalog/salesItemDetails.do?id=100935")</f>
        <v>https://www.fabsurplus.com/sdi_catalog/salesItemDetails.do?id=100935</v>
      </c>
      <c r="B2395" s="2" t="s">
        <v>6425</v>
      </c>
      <c r="C2395" s="2" t="s">
        <v>6261</v>
      </c>
      <c r="D2395" s="2" t="s">
        <v>6422</v>
      </c>
      <c r="E2395" s="2" t="s">
        <v>6423</v>
      </c>
      <c r="F2395" s="2" t="s">
        <v>16</v>
      </c>
      <c r="G2395" s="2" t="s">
        <v>17</v>
      </c>
      <c r="H2395" s="2"/>
      <c r="I2395" s="2"/>
      <c r="J2395" s="2" t="s">
        <v>19</v>
      </c>
      <c r="K2395" s="2"/>
      <c r="L2395" s="2" t="s">
        <v>618</v>
      </c>
    </row>
    <row r="2396" customFormat="false" ht="13.35" hidden="false" customHeight="true" outlineLevel="0" collapsed="false">
      <c r="A2396" s="5" t="str">
        <f aca="false">HYPERLINK("https://www.fabsurplus.com/sdi_catalog/salesItemDetails.do?id=103129")</f>
        <v>https://www.fabsurplus.com/sdi_catalog/salesItemDetails.do?id=103129</v>
      </c>
      <c r="B2396" s="5" t="s">
        <v>6426</v>
      </c>
      <c r="C2396" s="5" t="s">
        <v>6261</v>
      </c>
      <c r="D2396" s="5" t="s">
        <v>6422</v>
      </c>
      <c r="E2396" s="5" t="s">
        <v>6427</v>
      </c>
      <c r="F2396" s="5" t="s">
        <v>16</v>
      </c>
      <c r="G2396" s="5" t="s">
        <v>658</v>
      </c>
      <c r="H2396" s="5"/>
      <c r="I2396" s="6" t="n">
        <v>42522</v>
      </c>
      <c r="J2396" s="5" t="s">
        <v>19</v>
      </c>
      <c r="K2396" s="5"/>
      <c r="L2396" s="5"/>
    </row>
    <row r="2397" customFormat="false" ht="13.35" hidden="false" customHeight="true" outlineLevel="0" collapsed="false">
      <c r="A2397" s="5" t="str">
        <f aca="false">HYPERLINK("https://www.fabsurplus.com/sdi_catalog/salesItemDetails.do?id=98299")</f>
        <v>https://www.fabsurplus.com/sdi_catalog/salesItemDetails.do?id=98299</v>
      </c>
      <c r="B2397" s="5" t="s">
        <v>6428</v>
      </c>
      <c r="C2397" s="5" t="s">
        <v>6261</v>
      </c>
      <c r="D2397" s="5" t="s">
        <v>6422</v>
      </c>
      <c r="E2397" s="5" t="s">
        <v>6429</v>
      </c>
      <c r="F2397" s="5" t="s">
        <v>16</v>
      </c>
      <c r="G2397" s="5" t="s">
        <v>17</v>
      </c>
      <c r="H2397" s="5"/>
      <c r="I2397" s="5"/>
      <c r="J2397" s="5" t="s">
        <v>19</v>
      </c>
      <c r="K2397" s="5"/>
      <c r="L2397" s="5"/>
    </row>
    <row r="2398" customFormat="false" ht="13.35" hidden="false" customHeight="true" outlineLevel="0" collapsed="false">
      <c r="A2398" s="2" t="str">
        <f aca="false">HYPERLINK("https://www.fabsurplus.com/sdi_catalog/salesItemDetails.do?id=98300")</f>
        <v>https://www.fabsurplus.com/sdi_catalog/salesItemDetails.do?id=98300</v>
      </c>
      <c r="B2398" s="2" t="s">
        <v>6430</v>
      </c>
      <c r="C2398" s="2" t="s">
        <v>6261</v>
      </c>
      <c r="D2398" s="2" t="s">
        <v>6422</v>
      </c>
      <c r="E2398" s="2" t="s">
        <v>6429</v>
      </c>
      <c r="F2398" s="2" t="s">
        <v>16</v>
      </c>
      <c r="G2398" s="2" t="s">
        <v>17</v>
      </c>
      <c r="H2398" s="2"/>
      <c r="I2398" s="2"/>
      <c r="J2398" s="2" t="s">
        <v>19</v>
      </c>
      <c r="K2398" s="2"/>
      <c r="L2398" s="2"/>
    </row>
    <row r="2399" customFormat="false" ht="13.35" hidden="false" customHeight="true" outlineLevel="0" collapsed="false">
      <c r="A2399" s="5" t="str">
        <f aca="false">HYPERLINK("https://www.fabsurplus.com/sdi_catalog/salesItemDetails.do?id=98301")</f>
        <v>https://www.fabsurplus.com/sdi_catalog/salesItemDetails.do?id=98301</v>
      </c>
      <c r="B2399" s="5" t="s">
        <v>6431</v>
      </c>
      <c r="C2399" s="5" t="s">
        <v>6261</v>
      </c>
      <c r="D2399" s="5" t="s">
        <v>6422</v>
      </c>
      <c r="E2399" s="5" t="s">
        <v>6429</v>
      </c>
      <c r="F2399" s="5" t="s">
        <v>16</v>
      </c>
      <c r="G2399" s="5" t="s">
        <v>17</v>
      </c>
      <c r="H2399" s="5"/>
      <c r="I2399" s="5"/>
      <c r="J2399" s="5" t="s">
        <v>19</v>
      </c>
      <c r="K2399" s="5"/>
      <c r="L2399" s="5"/>
    </row>
    <row r="2400" customFormat="false" ht="13.35" hidden="false" customHeight="true" outlineLevel="0" collapsed="false">
      <c r="A2400" s="5" t="str">
        <f aca="false">HYPERLINK("https://www.fabsurplus.com/sdi_catalog/salesItemDetails.do?id=103147")</f>
        <v>https://www.fabsurplus.com/sdi_catalog/salesItemDetails.do?id=103147</v>
      </c>
      <c r="B2400" s="5" t="s">
        <v>6432</v>
      </c>
      <c r="C2400" s="5" t="s">
        <v>6261</v>
      </c>
      <c r="D2400" s="5" t="s">
        <v>6433</v>
      </c>
      <c r="E2400" s="5" t="s">
        <v>6434</v>
      </c>
      <c r="F2400" s="5" t="s">
        <v>16</v>
      </c>
      <c r="G2400" s="5" t="s">
        <v>36</v>
      </c>
      <c r="H2400" s="5"/>
      <c r="I2400" s="6" t="n">
        <v>35582</v>
      </c>
      <c r="J2400" s="5" t="s">
        <v>19</v>
      </c>
      <c r="K2400" s="5"/>
      <c r="L2400" s="5"/>
    </row>
    <row r="2401" customFormat="false" ht="13.35" hidden="false" customHeight="true" outlineLevel="0" collapsed="false">
      <c r="A2401" s="5" t="str">
        <f aca="false">HYPERLINK("https://www.fabsurplus.com/sdi_catalog/salesItemDetails.do?id=98840")</f>
        <v>https://www.fabsurplus.com/sdi_catalog/salesItemDetails.do?id=98840</v>
      </c>
      <c r="B2401" s="5" t="s">
        <v>6435</v>
      </c>
      <c r="C2401" s="5" t="s">
        <v>6261</v>
      </c>
      <c r="D2401" s="5" t="s">
        <v>6258</v>
      </c>
      <c r="E2401" s="5" t="s">
        <v>3957</v>
      </c>
      <c r="F2401" s="5" t="s">
        <v>16</v>
      </c>
      <c r="G2401" s="5" t="s">
        <v>17</v>
      </c>
      <c r="H2401" s="5"/>
      <c r="I2401" s="6" t="n">
        <v>41244</v>
      </c>
      <c r="J2401" s="5" t="s">
        <v>19</v>
      </c>
      <c r="K2401" s="5"/>
      <c r="L2401" s="7" t="s">
        <v>654</v>
      </c>
    </row>
    <row r="2402" customFormat="false" ht="13.35" hidden="false" customHeight="true" outlineLevel="0" collapsed="false">
      <c r="A2402" s="2" t="str">
        <f aca="false">HYPERLINK("https://www.fabsurplus.com/sdi_catalog/salesItemDetails.do?id=100048")</f>
        <v>https://www.fabsurplus.com/sdi_catalog/salesItemDetails.do?id=100048</v>
      </c>
      <c r="B2402" s="2" t="s">
        <v>6436</v>
      </c>
      <c r="C2402" s="2" t="s">
        <v>6261</v>
      </c>
      <c r="D2402" s="2" t="s">
        <v>6258</v>
      </c>
      <c r="E2402" s="2" t="s">
        <v>6437</v>
      </c>
      <c r="F2402" s="2" t="s">
        <v>16</v>
      </c>
      <c r="G2402" s="2" t="s">
        <v>17</v>
      </c>
      <c r="H2402" s="2"/>
      <c r="I2402" s="3" t="n">
        <v>39234</v>
      </c>
      <c r="J2402" s="2" t="s">
        <v>19</v>
      </c>
      <c r="K2402" s="2"/>
      <c r="L2402" s="4" t="s">
        <v>439</v>
      </c>
    </row>
    <row r="2403" customFormat="false" ht="13.35" hidden="false" customHeight="true" outlineLevel="0" collapsed="false">
      <c r="A2403" s="5" t="str">
        <f aca="false">HYPERLINK("https://www.fabsurplus.com/sdi_catalog/salesItemDetails.do?id=100049")</f>
        <v>https://www.fabsurplus.com/sdi_catalog/salesItemDetails.do?id=100049</v>
      </c>
      <c r="B2403" s="5" t="s">
        <v>6438</v>
      </c>
      <c r="C2403" s="5" t="s">
        <v>6261</v>
      </c>
      <c r="D2403" s="5" t="s">
        <v>6258</v>
      </c>
      <c r="E2403" s="5" t="s">
        <v>6437</v>
      </c>
      <c r="F2403" s="5" t="s">
        <v>16</v>
      </c>
      <c r="G2403" s="5" t="s">
        <v>17</v>
      </c>
      <c r="H2403" s="5"/>
      <c r="I2403" s="6" t="n">
        <v>39234</v>
      </c>
      <c r="J2403" s="5" t="s">
        <v>19</v>
      </c>
      <c r="K2403" s="5"/>
      <c r="L2403" s="7" t="s">
        <v>439</v>
      </c>
    </row>
    <row r="2404" customFormat="false" ht="13.35" hidden="false" customHeight="true" outlineLevel="0" collapsed="false">
      <c r="A2404" s="5" t="str">
        <f aca="false">HYPERLINK("https://www.fabsurplus.com/sdi_catalog/salesItemDetails.do?id=98302")</f>
        <v>https://www.fabsurplus.com/sdi_catalog/salesItemDetails.do?id=98302</v>
      </c>
      <c r="B2404" s="5" t="s">
        <v>6439</v>
      </c>
      <c r="C2404" s="5" t="s">
        <v>6261</v>
      </c>
      <c r="D2404" s="5" t="s">
        <v>6258</v>
      </c>
      <c r="E2404" s="5" t="s">
        <v>3934</v>
      </c>
      <c r="F2404" s="5" t="s">
        <v>16</v>
      </c>
      <c r="G2404" s="5" t="s">
        <v>17</v>
      </c>
      <c r="H2404" s="5"/>
      <c r="I2404" s="6" t="n">
        <v>38869</v>
      </c>
      <c r="J2404" s="5" t="s">
        <v>19</v>
      </c>
      <c r="K2404" s="5"/>
      <c r="L2404" s="5"/>
    </row>
    <row r="2405" customFormat="false" ht="13.35" hidden="false" customHeight="true" outlineLevel="0" collapsed="false">
      <c r="A2405" s="5" t="str">
        <f aca="false">HYPERLINK("https://www.fabsurplus.com/sdi_catalog/salesItemDetails.do?id=98303")</f>
        <v>https://www.fabsurplus.com/sdi_catalog/salesItemDetails.do?id=98303</v>
      </c>
      <c r="B2405" s="5" t="s">
        <v>6440</v>
      </c>
      <c r="C2405" s="5" t="s">
        <v>6261</v>
      </c>
      <c r="D2405" s="5" t="s">
        <v>6258</v>
      </c>
      <c r="E2405" s="5" t="s">
        <v>3934</v>
      </c>
      <c r="F2405" s="5" t="s">
        <v>16</v>
      </c>
      <c r="G2405" s="5" t="s">
        <v>17</v>
      </c>
      <c r="H2405" s="5"/>
      <c r="I2405" s="6" t="n">
        <v>38139</v>
      </c>
      <c r="J2405" s="5" t="s">
        <v>19</v>
      </c>
      <c r="K2405" s="5"/>
      <c r="L2405" s="5"/>
    </row>
    <row r="2406" customFormat="false" ht="13.35" hidden="false" customHeight="true" outlineLevel="0" collapsed="false">
      <c r="A2406" s="5" t="str">
        <f aca="false">HYPERLINK("https://www.fabsurplus.com/sdi_catalog/salesItemDetails.do?id=98304")</f>
        <v>https://www.fabsurplus.com/sdi_catalog/salesItemDetails.do?id=98304</v>
      </c>
      <c r="B2406" s="5" t="s">
        <v>6441</v>
      </c>
      <c r="C2406" s="5" t="s">
        <v>6261</v>
      </c>
      <c r="D2406" s="5" t="s">
        <v>6258</v>
      </c>
      <c r="E2406" s="5" t="s">
        <v>3934</v>
      </c>
      <c r="F2406" s="5" t="s">
        <v>16</v>
      </c>
      <c r="G2406" s="5" t="s">
        <v>17</v>
      </c>
      <c r="H2406" s="5"/>
      <c r="I2406" s="6" t="n">
        <v>40330</v>
      </c>
      <c r="J2406" s="5" t="s">
        <v>19</v>
      </c>
      <c r="K2406" s="5"/>
      <c r="L2406" s="5"/>
    </row>
    <row r="2407" customFormat="false" ht="13.35" hidden="false" customHeight="true" outlineLevel="0" collapsed="false">
      <c r="A2407" s="2" t="str">
        <f aca="false">HYPERLINK("https://www.fabsurplus.com/sdi_catalog/salesItemDetails.do?id=98305")</f>
        <v>https://www.fabsurplus.com/sdi_catalog/salesItemDetails.do?id=98305</v>
      </c>
      <c r="B2407" s="2" t="s">
        <v>6442</v>
      </c>
      <c r="C2407" s="2" t="s">
        <v>6261</v>
      </c>
      <c r="D2407" s="2" t="s">
        <v>6258</v>
      </c>
      <c r="E2407" s="2" t="s">
        <v>3934</v>
      </c>
      <c r="F2407" s="2" t="s">
        <v>16</v>
      </c>
      <c r="G2407" s="2" t="s">
        <v>17</v>
      </c>
      <c r="H2407" s="2"/>
      <c r="I2407" s="3" t="n">
        <v>40330</v>
      </c>
      <c r="J2407" s="2" t="s">
        <v>19</v>
      </c>
      <c r="K2407" s="2"/>
      <c r="L2407" s="2"/>
    </row>
    <row r="2408" customFormat="false" ht="13.35" hidden="false" customHeight="true" outlineLevel="0" collapsed="false">
      <c r="A2408" s="2" t="str">
        <f aca="false">HYPERLINK("https://www.fabsurplus.com/sdi_catalog/salesItemDetails.do?id=102404")</f>
        <v>https://www.fabsurplus.com/sdi_catalog/salesItemDetails.do?id=102404</v>
      </c>
      <c r="B2408" s="2" t="s">
        <v>6443</v>
      </c>
      <c r="C2408" s="2" t="s">
        <v>6261</v>
      </c>
      <c r="D2408" s="2" t="s">
        <v>6444</v>
      </c>
      <c r="E2408" s="2" t="s">
        <v>6445</v>
      </c>
      <c r="F2408" s="2" t="s">
        <v>16</v>
      </c>
      <c r="G2408" s="2" t="s">
        <v>17</v>
      </c>
      <c r="H2408" s="2"/>
      <c r="I2408" s="3" t="n">
        <v>41061</v>
      </c>
      <c r="J2408" s="2" t="s">
        <v>19</v>
      </c>
      <c r="K2408" s="2"/>
      <c r="L2408" s="2"/>
    </row>
    <row r="2409" customFormat="false" ht="13.35" hidden="false" customHeight="true" outlineLevel="0" collapsed="false">
      <c r="A2409" s="2" t="str">
        <f aca="false">HYPERLINK("https://www.fabsurplus.com/sdi_catalog/salesItemDetails.do?id=102405")</f>
        <v>https://www.fabsurplus.com/sdi_catalog/salesItemDetails.do?id=102405</v>
      </c>
      <c r="B2409" s="2" t="s">
        <v>6446</v>
      </c>
      <c r="C2409" s="2" t="s">
        <v>6261</v>
      </c>
      <c r="D2409" s="2" t="s">
        <v>6444</v>
      </c>
      <c r="E2409" s="2" t="s">
        <v>6447</v>
      </c>
      <c r="F2409" s="2" t="s">
        <v>16</v>
      </c>
      <c r="G2409" s="2" t="s">
        <v>17</v>
      </c>
      <c r="H2409" s="2"/>
      <c r="I2409" s="3" t="n">
        <v>41426</v>
      </c>
      <c r="J2409" s="2" t="s">
        <v>19</v>
      </c>
      <c r="K2409" s="2"/>
      <c r="L2409" s="2"/>
    </row>
    <row r="2410" customFormat="false" ht="13.35" hidden="false" customHeight="true" outlineLevel="0" collapsed="false">
      <c r="A2410" s="5" t="str">
        <f aca="false">HYPERLINK("https://www.fabsurplus.com/sdi_catalog/salesItemDetails.do?id=101734")</f>
        <v>https://www.fabsurplus.com/sdi_catalog/salesItemDetails.do?id=101734</v>
      </c>
      <c r="B2410" s="5" t="s">
        <v>6448</v>
      </c>
      <c r="C2410" s="5" t="s">
        <v>6261</v>
      </c>
      <c r="D2410" s="5" t="s">
        <v>6449</v>
      </c>
      <c r="E2410" s="5" t="s">
        <v>6450</v>
      </c>
      <c r="F2410" s="5" t="s">
        <v>16</v>
      </c>
      <c r="G2410" s="5"/>
      <c r="H2410" s="5"/>
      <c r="I2410" s="6" t="n">
        <v>39142</v>
      </c>
      <c r="J2410" s="5" t="s">
        <v>47</v>
      </c>
      <c r="K2410" s="5"/>
      <c r="L2410" s="5"/>
    </row>
    <row r="2411" customFormat="false" ht="13.35" hidden="false" customHeight="true" outlineLevel="0" collapsed="false">
      <c r="A2411" s="5" t="str">
        <f aca="false">HYPERLINK("https://www.fabsurplus.com/sdi_catalog/salesItemDetails.do?id=90152")</f>
        <v>https://www.fabsurplus.com/sdi_catalog/salesItemDetails.do?id=90152</v>
      </c>
      <c r="B2411" s="5" t="s">
        <v>6451</v>
      </c>
      <c r="C2411" s="5" t="s">
        <v>6276</v>
      </c>
      <c r="D2411" s="5" t="s">
        <v>6449</v>
      </c>
      <c r="E2411" s="5" t="s">
        <v>6452</v>
      </c>
      <c r="F2411" s="5" t="s">
        <v>16</v>
      </c>
      <c r="G2411" s="5" t="s">
        <v>663</v>
      </c>
      <c r="H2411" s="5" t="s">
        <v>18</v>
      </c>
      <c r="I2411" s="6" t="n">
        <v>39142</v>
      </c>
      <c r="J2411" s="5" t="s">
        <v>19</v>
      </c>
      <c r="K2411" s="5" t="s">
        <v>20</v>
      </c>
      <c r="L2411" s="7" t="s">
        <v>6453</v>
      </c>
    </row>
    <row r="2412" customFormat="false" ht="13.35" hidden="false" customHeight="true" outlineLevel="0" collapsed="false">
      <c r="A2412" s="2" t="str">
        <f aca="false">HYPERLINK("https://www.fabsurplus.com/sdi_catalog/salesItemDetails.do?id=102406")</f>
        <v>https://www.fabsurplus.com/sdi_catalog/salesItemDetails.do?id=102406</v>
      </c>
      <c r="B2412" s="2" t="s">
        <v>6454</v>
      </c>
      <c r="C2412" s="2" t="s">
        <v>6261</v>
      </c>
      <c r="D2412" s="2" t="s">
        <v>6455</v>
      </c>
      <c r="E2412" s="2" t="s">
        <v>6456</v>
      </c>
      <c r="F2412" s="2" t="s">
        <v>16</v>
      </c>
      <c r="G2412" s="2" t="s">
        <v>17</v>
      </c>
      <c r="H2412" s="2"/>
      <c r="I2412" s="3" t="n">
        <v>38504</v>
      </c>
      <c r="J2412" s="2" t="s">
        <v>19</v>
      </c>
      <c r="K2412" s="2"/>
      <c r="L2412" s="2"/>
    </row>
    <row r="2413" customFormat="false" ht="13.35" hidden="false" customHeight="true" outlineLevel="0" collapsed="false">
      <c r="A2413" s="2" t="str">
        <f aca="false">HYPERLINK("https://www.fabsurplus.com/sdi_catalog/salesItemDetails.do?id=102407")</f>
        <v>https://www.fabsurplus.com/sdi_catalog/salesItemDetails.do?id=102407</v>
      </c>
      <c r="B2413" s="2" t="s">
        <v>6457</v>
      </c>
      <c r="C2413" s="2" t="s">
        <v>6261</v>
      </c>
      <c r="D2413" s="2" t="s">
        <v>6455</v>
      </c>
      <c r="E2413" s="2" t="s">
        <v>6456</v>
      </c>
      <c r="F2413" s="2" t="s">
        <v>16</v>
      </c>
      <c r="G2413" s="2" t="s">
        <v>17</v>
      </c>
      <c r="H2413" s="2"/>
      <c r="I2413" s="3" t="n">
        <v>38869</v>
      </c>
      <c r="J2413" s="2" t="s">
        <v>19</v>
      </c>
      <c r="K2413" s="2"/>
      <c r="L2413" s="2"/>
    </row>
    <row r="2414" customFormat="false" ht="13.35" hidden="false" customHeight="true" outlineLevel="0" collapsed="false">
      <c r="A2414" s="2" t="str">
        <f aca="false">HYPERLINK("https://www.fabsurplus.com/sdi_catalog/salesItemDetails.do?id=102408")</f>
        <v>https://www.fabsurplus.com/sdi_catalog/salesItemDetails.do?id=102408</v>
      </c>
      <c r="B2414" s="2" t="s">
        <v>6458</v>
      </c>
      <c r="C2414" s="2" t="s">
        <v>6261</v>
      </c>
      <c r="D2414" s="2" t="s">
        <v>6455</v>
      </c>
      <c r="E2414" s="2" t="s">
        <v>6456</v>
      </c>
      <c r="F2414" s="2" t="s">
        <v>16</v>
      </c>
      <c r="G2414" s="2" t="s">
        <v>17</v>
      </c>
      <c r="H2414" s="2"/>
      <c r="I2414" s="2"/>
      <c r="J2414" s="2" t="s">
        <v>19</v>
      </c>
      <c r="K2414" s="2"/>
      <c r="L2414" s="2"/>
    </row>
    <row r="2415" customFormat="false" ht="13.35" hidden="false" customHeight="true" outlineLevel="0" collapsed="false">
      <c r="A2415" s="2" t="str">
        <f aca="false">HYPERLINK("https://www.fabsurplus.com/sdi_catalog/salesItemDetails.do?id=102409")</f>
        <v>https://www.fabsurplus.com/sdi_catalog/salesItemDetails.do?id=102409</v>
      </c>
      <c r="B2415" s="2" t="s">
        <v>6459</v>
      </c>
      <c r="C2415" s="2" t="s">
        <v>6261</v>
      </c>
      <c r="D2415" s="2" t="s">
        <v>6455</v>
      </c>
      <c r="E2415" s="2" t="s">
        <v>6456</v>
      </c>
      <c r="F2415" s="2" t="s">
        <v>16</v>
      </c>
      <c r="G2415" s="2" t="s">
        <v>17</v>
      </c>
      <c r="H2415" s="2"/>
      <c r="I2415" s="2"/>
      <c r="J2415" s="2" t="s">
        <v>19</v>
      </c>
      <c r="K2415" s="2"/>
      <c r="L2415" s="2"/>
    </row>
    <row r="2416" customFormat="false" ht="13.35" hidden="false" customHeight="true" outlineLevel="0" collapsed="false">
      <c r="A2416" s="5" t="str">
        <f aca="false">HYPERLINK("https://www.fabsurplus.com/sdi_catalog/salesItemDetails.do?id=102410")</f>
        <v>https://www.fabsurplus.com/sdi_catalog/salesItemDetails.do?id=102410</v>
      </c>
      <c r="B2416" s="5" t="s">
        <v>6460</v>
      </c>
      <c r="C2416" s="5" t="s">
        <v>6261</v>
      </c>
      <c r="D2416" s="5" t="s">
        <v>6455</v>
      </c>
      <c r="E2416" s="5" t="s">
        <v>6456</v>
      </c>
      <c r="F2416" s="5" t="s">
        <v>16</v>
      </c>
      <c r="G2416" s="5" t="s">
        <v>17</v>
      </c>
      <c r="H2416" s="5"/>
      <c r="I2416" s="5"/>
      <c r="J2416" s="5" t="s">
        <v>19</v>
      </c>
      <c r="K2416" s="5"/>
      <c r="L2416" s="5"/>
    </row>
    <row r="2417" customFormat="false" ht="13.35" hidden="false" customHeight="true" outlineLevel="0" collapsed="false">
      <c r="A2417" s="2" t="str">
        <f aca="false">HYPERLINK("https://www.fabsurplus.com/sdi_catalog/salesItemDetails.do?id=102411")</f>
        <v>https://www.fabsurplus.com/sdi_catalog/salesItemDetails.do?id=102411</v>
      </c>
      <c r="B2417" s="2" t="s">
        <v>6461</v>
      </c>
      <c r="C2417" s="2" t="s">
        <v>6261</v>
      </c>
      <c r="D2417" s="2" t="s">
        <v>6455</v>
      </c>
      <c r="E2417" s="2" t="s">
        <v>6456</v>
      </c>
      <c r="F2417" s="2" t="s">
        <v>16</v>
      </c>
      <c r="G2417" s="2" t="s">
        <v>17</v>
      </c>
      <c r="H2417" s="2"/>
      <c r="I2417" s="2"/>
      <c r="J2417" s="2" t="s">
        <v>19</v>
      </c>
      <c r="K2417" s="2"/>
      <c r="L2417" s="2"/>
    </row>
    <row r="2418" customFormat="false" ht="13.35" hidden="false" customHeight="true" outlineLevel="0" collapsed="false">
      <c r="A2418" s="5" t="str">
        <f aca="false">HYPERLINK("https://www.fabsurplus.com/sdi_catalog/salesItemDetails.do?id=102412")</f>
        <v>https://www.fabsurplus.com/sdi_catalog/salesItemDetails.do?id=102412</v>
      </c>
      <c r="B2418" s="5" t="s">
        <v>6462</v>
      </c>
      <c r="C2418" s="5" t="s">
        <v>6261</v>
      </c>
      <c r="D2418" s="5" t="s">
        <v>6455</v>
      </c>
      <c r="E2418" s="5" t="s">
        <v>6456</v>
      </c>
      <c r="F2418" s="5" t="s">
        <v>16</v>
      </c>
      <c r="G2418" s="5" t="s">
        <v>17</v>
      </c>
      <c r="H2418" s="5"/>
      <c r="I2418" s="5"/>
      <c r="J2418" s="5" t="s">
        <v>19</v>
      </c>
      <c r="K2418" s="5"/>
      <c r="L2418" s="5"/>
    </row>
    <row r="2419" customFormat="false" ht="13.35" hidden="false" customHeight="true" outlineLevel="0" collapsed="false">
      <c r="A2419" s="5" t="str">
        <f aca="false">HYPERLINK("https://www.fabsurplus.com/sdi_catalog/salesItemDetails.do?id=96386")</f>
        <v>https://www.fabsurplus.com/sdi_catalog/salesItemDetails.do?id=96386</v>
      </c>
      <c r="B2419" s="5" t="s">
        <v>6463</v>
      </c>
      <c r="C2419" s="5" t="s">
        <v>6261</v>
      </c>
      <c r="D2419" s="5" t="s">
        <v>6464</v>
      </c>
      <c r="E2419" s="5" t="s">
        <v>6465</v>
      </c>
      <c r="F2419" s="5" t="s">
        <v>4449</v>
      </c>
      <c r="G2419" s="5"/>
      <c r="H2419" s="5" t="s">
        <v>26</v>
      </c>
      <c r="I2419" s="6" t="n">
        <v>39234</v>
      </c>
      <c r="J2419" s="5" t="s">
        <v>19</v>
      </c>
      <c r="K2419" s="5" t="s">
        <v>20</v>
      </c>
      <c r="L2419" s="5" t="s">
        <v>6466</v>
      </c>
    </row>
    <row r="2420" customFormat="false" ht="13.35" hidden="false" customHeight="true" outlineLevel="0" collapsed="false">
      <c r="A2420" s="5" t="str">
        <f aca="false">HYPERLINK("https://www.fabsurplus.com/sdi_catalog/salesItemDetails.do?id=102415")</f>
        <v>https://www.fabsurplus.com/sdi_catalog/salesItemDetails.do?id=102415</v>
      </c>
      <c r="B2420" s="5" t="s">
        <v>6467</v>
      </c>
      <c r="C2420" s="5" t="s">
        <v>6261</v>
      </c>
      <c r="D2420" s="5" t="s">
        <v>6455</v>
      </c>
      <c r="E2420" s="5" t="s">
        <v>6468</v>
      </c>
      <c r="F2420" s="5" t="s">
        <v>16</v>
      </c>
      <c r="G2420" s="5" t="s">
        <v>17</v>
      </c>
      <c r="H2420" s="5"/>
      <c r="I2420" s="5"/>
      <c r="J2420" s="5" t="s">
        <v>19</v>
      </c>
      <c r="K2420" s="5"/>
      <c r="L2420" s="5"/>
    </row>
    <row r="2421" customFormat="false" ht="13.35" hidden="false" customHeight="true" outlineLevel="0" collapsed="false">
      <c r="A2421" s="5" t="str">
        <f aca="false">HYPERLINK("https://www.fabsurplus.com/sdi_catalog/salesItemDetails.do?id=102413")</f>
        <v>https://www.fabsurplus.com/sdi_catalog/salesItemDetails.do?id=102413</v>
      </c>
      <c r="B2421" s="5" t="s">
        <v>6469</v>
      </c>
      <c r="C2421" s="5" t="s">
        <v>6261</v>
      </c>
      <c r="D2421" s="5" t="s">
        <v>6455</v>
      </c>
      <c r="E2421" s="5" t="s">
        <v>6470</v>
      </c>
      <c r="F2421" s="5" t="s">
        <v>16</v>
      </c>
      <c r="G2421" s="5" t="s">
        <v>17</v>
      </c>
      <c r="H2421" s="5"/>
      <c r="I2421" s="5"/>
      <c r="J2421" s="5" t="s">
        <v>19</v>
      </c>
      <c r="K2421" s="5"/>
      <c r="L2421" s="5"/>
    </row>
    <row r="2422" customFormat="false" ht="13.35" hidden="false" customHeight="true" outlineLevel="0" collapsed="false">
      <c r="A2422" s="5" t="str">
        <f aca="false">HYPERLINK("https://www.fabsurplus.com/sdi_catalog/salesItemDetails.do?id=102414")</f>
        <v>https://www.fabsurplus.com/sdi_catalog/salesItemDetails.do?id=102414</v>
      </c>
      <c r="B2422" s="5" t="s">
        <v>6471</v>
      </c>
      <c r="C2422" s="5" t="s">
        <v>6261</v>
      </c>
      <c r="D2422" s="5" t="s">
        <v>6455</v>
      </c>
      <c r="E2422" s="5" t="s">
        <v>6472</v>
      </c>
      <c r="F2422" s="5" t="s">
        <v>16</v>
      </c>
      <c r="G2422" s="5" t="s">
        <v>17</v>
      </c>
      <c r="H2422" s="5"/>
      <c r="I2422" s="6" t="n">
        <v>38504</v>
      </c>
      <c r="J2422" s="5" t="s">
        <v>19</v>
      </c>
      <c r="K2422" s="5"/>
      <c r="L2422" s="5"/>
    </row>
    <row r="2423" customFormat="false" ht="13.35" hidden="false" customHeight="true" outlineLevel="0" collapsed="false">
      <c r="A2423" s="5" t="str">
        <f aca="false">HYPERLINK("https://www.fabsurplus.com/sdi_catalog/salesItemDetails.do?id=102416")</f>
        <v>https://www.fabsurplus.com/sdi_catalog/salesItemDetails.do?id=102416</v>
      </c>
      <c r="B2423" s="5" t="s">
        <v>6473</v>
      </c>
      <c r="C2423" s="5" t="s">
        <v>6261</v>
      </c>
      <c r="D2423" s="5" t="s">
        <v>6474</v>
      </c>
      <c r="E2423" s="5" t="s">
        <v>6475</v>
      </c>
      <c r="F2423" s="5" t="s">
        <v>16</v>
      </c>
      <c r="G2423" s="5" t="s">
        <v>17</v>
      </c>
      <c r="H2423" s="5"/>
      <c r="I2423" s="5"/>
      <c r="J2423" s="5" t="s">
        <v>19</v>
      </c>
      <c r="K2423" s="5"/>
      <c r="L2423" s="5"/>
    </row>
    <row r="2424" customFormat="false" ht="13.35" hidden="false" customHeight="true" outlineLevel="0" collapsed="false">
      <c r="A2424" s="5" t="str">
        <f aca="false">HYPERLINK("https://www.fabsurplus.com/sdi_catalog/salesItemDetails.do?id=98306")</f>
        <v>https://www.fabsurplus.com/sdi_catalog/salesItemDetails.do?id=98306</v>
      </c>
      <c r="B2424" s="5" t="s">
        <v>6476</v>
      </c>
      <c r="C2424" s="5" t="s">
        <v>6261</v>
      </c>
      <c r="D2424" s="5" t="s">
        <v>6477</v>
      </c>
      <c r="E2424" s="5" t="s">
        <v>6478</v>
      </c>
      <c r="F2424" s="5" t="s">
        <v>16</v>
      </c>
      <c r="G2424" s="5"/>
      <c r="H2424" s="5"/>
      <c r="I2424" s="6" t="n">
        <v>34851</v>
      </c>
      <c r="J2424" s="5" t="s">
        <v>19</v>
      </c>
      <c r="K2424" s="5"/>
      <c r="L2424" s="5"/>
    </row>
    <row r="2425" customFormat="false" ht="13.35" hidden="false" customHeight="true" outlineLevel="0" collapsed="false">
      <c r="A2425" s="2" t="str">
        <f aca="false">HYPERLINK("https://www.fabsurplus.com/sdi_catalog/salesItemDetails.do?id=102417")</f>
        <v>https://www.fabsurplus.com/sdi_catalog/salesItemDetails.do?id=102417</v>
      </c>
      <c r="B2425" s="2" t="s">
        <v>6479</v>
      </c>
      <c r="C2425" s="2" t="s">
        <v>6261</v>
      </c>
      <c r="D2425" s="2" t="s">
        <v>6480</v>
      </c>
      <c r="E2425" s="2" t="s">
        <v>6481</v>
      </c>
      <c r="F2425" s="2" t="s">
        <v>16</v>
      </c>
      <c r="G2425" s="2" t="s">
        <v>36</v>
      </c>
      <c r="H2425" s="2"/>
      <c r="I2425" s="3" t="n">
        <v>34851</v>
      </c>
      <c r="J2425" s="2" t="s">
        <v>19</v>
      </c>
      <c r="K2425" s="2"/>
      <c r="L2425" s="2"/>
    </row>
    <row r="2426" customFormat="false" ht="13.35" hidden="false" customHeight="true" outlineLevel="0" collapsed="false">
      <c r="A2426" s="5" t="str">
        <f aca="false">HYPERLINK("https://www.fabsurplus.com/sdi_catalog/salesItemDetails.do?id=102418")</f>
        <v>https://www.fabsurplus.com/sdi_catalog/salesItemDetails.do?id=102418</v>
      </c>
      <c r="B2426" s="5" t="s">
        <v>6482</v>
      </c>
      <c r="C2426" s="5" t="s">
        <v>6261</v>
      </c>
      <c r="D2426" s="5" t="s">
        <v>6480</v>
      </c>
      <c r="E2426" s="5" t="s">
        <v>6481</v>
      </c>
      <c r="F2426" s="5" t="s">
        <v>16</v>
      </c>
      <c r="G2426" s="5" t="s">
        <v>36</v>
      </c>
      <c r="H2426" s="5"/>
      <c r="I2426" s="6" t="n">
        <v>34851</v>
      </c>
      <c r="J2426" s="5" t="s">
        <v>19</v>
      </c>
      <c r="K2426" s="5"/>
      <c r="L2426" s="5"/>
    </row>
    <row r="2427" customFormat="false" ht="13.35" hidden="false" customHeight="true" outlineLevel="0" collapsed="false">
      <c r="A2427" s="2" t="str">
        <f aca="false">HYPERLINK("https://www.fabsurplus.com/sdi_catalog/salesItemDetails.do?id=102419")</f>
        <v>https://www.fabsurplus.com/sdi_catalog/salesItemDetails.do?id=102419</v>
      </c>
      <c r="B2427" s="2" t="s">
        <v>6483</v>
      </c>
      <c r="C2427" s="2" t="s">
        <v>6261</v>
      </c>
      <c r="D2427" s="2" t="s">
        <v>6484</v>
      </c>
      <c r="E2427" s="2" t="s">
        <v>6485</v>
      </c>
      <c r="F2427" s="2" t="s">
        <v>16</v>
      </c>
      <c r="G2427" s="2" t="s">
        <v>17</v>
      </c>
      <c r="H2427" s="2"/>
      <c r="I2427" s="3" t="n">
        <v>41426</v>
      </c>
      <c r="J2427" s="2" t="s">
        <v>19</v>
      </c>
      <c r="K2427" s="2"/>
      <c r="L2427" s="2"/>
    </row>
    <row r="2428" customFormat="false" ht="13.35" hidden="false" customHeight="true" outlineLevel="0" collapsed="false">
      <c r="A2428" s="2" t="str">
        <f aca="false">HYPERLINK("https://www.fabsurplus.com/sdi_catalog/salesItemDetails.do?id=102420")</f>
        <v>https://www.fabsurplus.com/sdi_catalog/salesItemDetails.do?id=102420</v>
      </c>
      <c r="B2428" s="2" t="s">
        <v>6486</v>
      </c>
      <c r="C2428" s="2" t="s">
        <v>6261</v>
      </c>
      <c r="D2428" s="2" t="s">
        <v>6487</v>
      </c>
      <c r="E2428" s="2" t="s">
        <v>6485</v>
      </c>
      <c r="F2428" s="2" t="s">
        <v>16</v>
      </c>
      <c r="G2428" s="2" t="s">
        <v>17</v>
      </c>
      <c r="H2428" s="2"/>
      <c r="I2428" s="3" t="n">
        <v>40695</v>
      </c>
      <c r="J2428" s="2" t="s">
        <v>19</v>
      </c>
      <c r="K2428" s="2"/>
      <c r="L2428" s="2"/>
    </row>
    <row r="2429" customFormat="false" ht="13.35" hidden="false" customHeight="true" outlineLevel="0" collapsed="false">
      <c r="A2429" s="5" t="str">
        <f aca="false">HYPERLINK("https://www.fabsurplus.com/sdi_catalog/salesItemDetails.do?id=102421")</f>
        <v>https://www.fabsurplus.com/sdi_catalog/salesItemDetails.do?id=102421</v>
      </c>
      <c r="B2429" s="5" t="s">
        <v>6488</v>
      </c>
      <c r="C2429" s="5" t="s">
        <v>6261</v>
      </c>
      <c r="D2429" s="5" t="s">
        <v>6487</v>
      </c>
      <c r="E2429" s="5" t="s">
        <v>6485</v>
      </c>
      <c r="F2429" s="5" t="s">
        <v>16</v>
      </c>
      <c r="G2429" s="5" t="s">
        <v>17</v>
      </c>
      <c r="H2429" s="5"/>
      <c r="I2429" s="6" t="n">
        <v>41426</v>
      </c>
      <c r="J2429" s="5" t="s">
        <v>19</v>
      </c>
      <c r="K2429" s="5"/>
      <c r="L2429" s="5"/>
    </row>
    <row r="2430" customFormat="false" ht="13.35" hidden="false" customHeight="true" outlineLevel="0" collapsed="false">
      <c r="A2430" s="2" t="str">
        <f aca="false">HYPERLINK("https://www.fabsurplus.com/sdi_catalog/salesItemDetails.do?id=98042")</f>
        <v>https://www.fabsurplus.com/sdi_catalog/salesItemDetails.do?id=98042</v>
      </c>
      <c r="B2430" s="2" t="s">
        <v>6489</v>
      </c>
      <c r="C2430" s="2" t="s">
        <v>6261</v>
      </c>
      <c r="D2430" s="2" t="s">
        <v>6490</v>
      </c>
      <c r="E2430" s="2" t="s">
        <v>41</v>
      </c>
      <c r="F2430" s="2" t="s">
        <v>16</v>
      </c>
      <c r="G2430" s="2" t="s">
        <v>17</v>
      </c>
      <c r="H2430" s="2"/>
      <c r="I2430" s="3" t="n">
        <v>37408</v>
      </c>
      <c r="J2430" s="2" t="s">
        <v>19</v>
      </c>
      <c r="K2430" s="2"/>
      <c r="L2430" s="2"/>
    </row>
    <row r="2431" customFormat="false" ht="13.35" hidden="false" customHeight="true" outlineLevel="0" collapsed="false">
      <c r="A2431" s="2" t="str">
        <f aca="false">HYPERLINK("https://www.fabsurplus.com/sdi_catalog/salesItemDetails.do?id=91594")</f>
        <v>https://www.fabsurplus.com/sdi_catalog/salesItemDetails.do?id=91594</v>
      </c>
      <c r="B2431" s="2" t="s">
        <v>6491</v>
      </c>
      <c r="C2431" s="2" t="s">
        <v>6276</v>
      </c>
      <c r="D2431" s="2" t="s">
        <v>6492</v>
      </c>
      <c r="E2431" s="2" t="s">
        <v>6493</v>
      </c>
      <c r="F2431" s="2" t="s">
        <v>16</v>
      </c>
      <c r="G2431" s="2" t="s">
        <v>36</v>
      </c>
      <c r="H2431" s="2"/>
      <c r="I2431" s="3" t="n">
        <v>37408</v>
      </c>
      <c r="J2431" s="2" t="s">
        <v>19</v>
      </c>
      <c r="K2431" s="2"/>
      <c r="L2431" s="2" t="s">
        <v>112</v>
      </c>
    </row>
    <row r="2432" customFormat="false" ht="13.35" hidden="false" customHeight="true" outlineLevel="0" collapsed="false">
      <c r="A2432" s="2" t="str">
        <f aca="false">HYPERLINK("https://www.fabsurplus.com/sdi_catalog/salesItemDetails.do?id=102941")</f>
        <v>https://www.fabsurplus.com/sdi_catalog/salesItemDetails.do?id=102941</v>
      </c>
      <c r="B2432" s="2" t="s">
        <v>6494</v>
      </c>
      <c r="C2432" s="2" t="s">
        <v>6261</v>
      </c>
      <c r="D2432" s="2" t="s">
        <v>6495</v>
      </c>
      <c r="E2432" s="2" t="s">
        <v>65</v>
      </c>
      <c r="F2432" s="2" t="s">
        <v>16</v>
      </c>
      <c r="G2432" s="2" t="s">
        <v>17</v>
      </c>
      <c r="H2432" s="2"/>
      <c r="I2432" s="2"/>
      <c r="J2432" s="2" t="s">
        <v>19</v>
      </c>
      <c r="K2432" s="2"/>
      <c r="L2432" s="2" t="s">
        <v>65</v>
      </c>
    </row>
    <row r="2433" customFormat="false" ht="13.35" hidden="false" customHeight="true" outlineLevel="0" collapsed="false">
      <c r="A2433" s="5" t="str">
        <f aca="false">HYPERLINK("https://www.fabsurplus.com/sdi_catalog/salesItemDetails.do?id=102942")</f>
        <v>https://www.fabsurplus.com/sdi_catalog/salesItemDetails.do?id=102942</v>
      </c>
      <c r="B2433" s="5" t="s">
        <v>6496</v>
      </c>
      <c r="C2433" s="5" t="s">
        <v>6261</v>
      </c>
      <c r="D2433" s="5" t="s">
        <v>6495</v>
      </c>
      <c r="E2433" s="5" t="s">
        <v>65</v>
      </c>
      <c r="F2433" s="5" t="s">
        <v>16</v>
      </c>
      <c r="G2433" s="5" t="s">
        <v>17</v>
      </c>
      <c r="H2433" s="5"/>
      <c r="I2433" s="5"/>
      <c r="J2433" s="5" t="s">
        <v>19</v>
      </c>
      <c r="K2433" s="5"/>
      <c r="L2433" s="5" t="s">
        <v>65</v>
      </c>
    </row>
    <row r="2434" customFormat="false" ht="13.35" hidden="false" customHeight="true" outlineLevel="0" collapsed="false">
      <c r="A2434" s="2" t="str">
        <f aca="false">HYPERLINK("https://www.fabsurplus.com/sdi_catalog/salesItemDetails.do?id=93837")</f>
        <v>https://www.fabsurplus.com/sdi_catalog/salesItemDetails.do?id=93837</v>
      </c>
      <c r="B2434" s="2" t="s">
        <v>6497</v>
      </c>
      <c r="C2434" s="2" t="s">
        <v>6261</v>
      </c>
      <c r="D2434" s="2" t="s">
        <v>6495</v>
      </c>
      <c r="E2434" s="2" t="s">
        <v>41</v>
      </c>
      <c r="F2434" s="2" t="s">
        <v>16</v>
      </c>
      <c r="G2434" s="2" t="s">
        <v>17</v>
      </c>
      <c r="H2434" s="2" t="s">
        <v>26</v>
      </c>
      <c r="I2434" s="3" t="n">
        <v>38139</v>
      </c>
      <c r="J2434" s="2" t="s">
        <v>47</v>
      </c>
      <c r="K2434" s="2" t="s">
        <v>20</v>
      </c>
      <c r="L2434" s="2"/>
    </row>
    <row r="2435" customFormat="false" ht="13.35" hidden="false" customHeight="true" outlineLevel="0" collapsed="false">
      <c r="A2435" s="2" t="str">
        <f aca="false">HYPERLINK("https://www.fabsurplus.com/sdi_catalog/salesItemDetails.do?id=78323")</f>
        <v>https://www.fabsurplus.com/sdi_catalog/salesItemDetails.do?id=78323</v>
      </c>
      <c r="B2435" s="2" t="s">
        <v>6498</v>
      </c>
      <c r="C2435" s="2" t="s">
        <v>6261</v>
      </c>
      <c r="D2435" s="2" t="s">
        <v>6495</v>
      </c>
      <c r="E2435" s="2" t="s">
        <v>6499</v>
      </c>
      <c r="F2435" s="2" t="s">
        <v>16</v>
      </c>
      <c r="G2435" s="2"/>
      <c r="H2435" s="2"/>
      <c r="I2435" s="2"/>
      <c r="J2435" s="2" t="s">
        <v>19</v>
      </c>
      <c r="K2435" s="2"/>
      <c r="L2435" s="2" t="s">
        <v>112</v>
      </c>
    </row>
    <row r="2436" customFormat="false" ht="13.35" hidden="false" customHeight="true" outlineLevel="0" collapsed="false">
      <c r="A2436" s="5" t="str">
        <f aca="false">HYPERLINK("https://www.fabsurplus.com/sdi_catalog/salesItemDetails.do?id=92441")</f>
        <v>https://www.fabsurplus.com/sdi_catalog/salesItemDetails.do?id=92441</v>
      </c>
      <c r="B2436" s="5" t="s">
        <v>6500</v>
      </c>
      <c r="C2436" s="5" t="s">
        <v>6261</v>
      </c>
      <c r="D2436" s="5" t="s">
        <v>6501</v>
      </c>
      <c r="E2436" s="5" t="s">
        <v>6502</v>
      </c>
      <c r="F2436" s="5" t="s">
        <v>16</v>
      </c>
      <c r="G2436" s="5" t="s">
        <v>663</v>
      </c>
      <c r="H2436" s="5" t="s">
        <v>18</v>
      </c>
      <c r="I2436" s="6" t="n">
        <v>39965</v>
      </c>
      <c r="J2436" s="5" t="s">
        <v>47</v>
      </c>
      <c r="K2436" s="5" t="s">
        <v>20</v>
      </c>
      <c r="L2436" s="7" t="s">
        <v>6503</v>
      </c>
    </row>
    <row r="2437" customFormat="false" ht="13.35" hidden="false" customHeight="true" outlineLevel="0" collapsed="false">
      <c r="A2437" s="5" t="str">
        <f aca="false">HYPERLINK("https://www.fabsurplus.com/sdi_catalog/salesItemDetails.do?id=95987")</f>
        <v>https://www.fabsurplus.com/sdi_catalog/salesItemDetails.do?id=95987</v>
      </c>
      <c r="B2437" s="5" t="s">
        <v>6504</v>
      </c>
      <c r="C2437" s="5" t="s">
        <v>6261</v>
      </c>
      <c r="D2437" s="5" t="s">
        <v>6501</v>
      </c>
      <c r="E2437" s="5" t="s">
        <v>6502</v>
      </c>
      <c r="F2437" s="5" t="s">
        <v>16</v>
      </c>
      <c r="G2437" s="5" t="s">
        <v>663</v>
      </c>
      <c r="H2437" s="5" t="s">
        <v>18</v>
      </c>
      <c r="I2437" s="6" t="n">
        <v>39722</v>
      </c>
      <c r="J2437" s="5" t="s">
        <v>47</v>
      </c>
      <c r="K2437" s="5" t="s">
        <v>20</v>
      </c>
      <c r="L2437" s="7" t="s">
        <v>6503</v>
      </c>
    </row>
    <row r="2438" customFormat="false" ht="13.35" hidden="false" customHeight="true" outlineLevel="0" collapsed="false">
      <c r="A2438" s="2" t="str">
        <f aca="false">HYPERLINK("https://www.fabsurplus.com/sdi_catalog/salesItemDetails.do?id=99915")</f>
        <v>https://www.fabsurplus.com/sdi_catalog/salesItemDetails.do?id=99915</v>
      </c>
      <c r="B2438" s="2" t="s">
        <v>6505</v>
      </c>
      <c r="C2438" s="2" t="s">
        <v>6261</v>
      </c>
      <c r="D2438" s="2" t="s">
        <v>6506</v>
      </c>
      <c r="E2438" s="2" t="s">
        <v>41</v>
      </c>
      <c r="F2438" s="2" t="s">
        <v>16</v>
      </c>
      <c r="G2438" s="2" t="s">
        <v>17</v>
      </c>
      <c r="H2438" s="2"/>
      <c r="I2438" s="3" t="n">
        <v>38869</v>
      </c>
      <c r="J2438" s="2" t="s">
        <v>19</v>
      </c>
      <c r="K2438" s="2"/>
      <c r="L2438" s="2" t="s">
        <v>3782</v>
      </c>
    </row>
    <row r="2439" customFormat="false" ht="13.35" hidden="false" customHeight="true" outlineLevel="0" collapsed="false">
      <c r="A2439" s="2" t="str">
        <f aca="false">HYPERLINK("https://www.fabsurplus.com/sdi_catalog/salesItemDetails.do?id=87848")</f>
        <v>https://www.fabsurplus.com/sdi_catalog/salesItemDetails.do?id=87848</v>
      </c>
      <c r="B2439" s="2" t="s">
        <v>6507</v>
      </c>
      <c r="C2439" s="2" t="s">
        <v>6276</v>
      </c>
      <c r="D2439" s="2" t="s">
        <v>6506</v>
      </c>
      <c r="E2439" s="2" t="s">
        <v>41</v>
      </c>
      <c r="F2439" s="2" t="s">
        <v>16</v>
      </c>
      <c r="G2439" s="2" t="s">
        <v>17</v>
      </c>
      <c r="H2439" s="2" t="s">
        <v>18</v>
      </c>
      <c r="I2439" s="3" t="n">
        <v>38869</v>
      </c>
      <c r="J2439" s="2" t="s">
        <v>47</v>
      </c>
      <c r="K2439" s="2" t="s">
        <v>20</v>
      </c>
      <c r="L2439" s="4" t="s">
        <v>6508</v>
      </c>
    </row>
    <row r="2440" customFormat="false" ht="13.35" hidden="false" customHeight="true" outlineLevel="0" collapsed="false">
      <c r="A2440" s="5" t="str">
        <f aca="false">HYPERLINK("https://www.fabsurplus.com/sdi_catalog/salesItemDetails.do?id=74530")</f>
        <v>https://www.fabsurplus.com/sdi_catalog/salesItemDetails.do?id=74530</v>
      </c>
      <c r="B2440" s="5" t="s">
        <v>6509</v>
      </c>
      <c r="C2440" s="5" t="s">
        <v>6261</v>
      </c>
      <c r="D2440" s="5" t="s">
        <v>6510</v>
      </c>
      <c r="E2440" s="5" t="s">
        <v>6499</v>
      </c>
      <c r="F2440" s="5" t="s">
        <v>46</v>
      </c>
      <c r="G2440" s="5" t="s">
        <v>222</v>
      </c>
      <c r="H2440" s="5"/>
      <c r="I2440" s="5"/>
      <c r="J2440" s="5" t="s">
        <v>19</v>
      </c>
      <c r="K2440" s="5"/>
      <c r="L2440" s="5"/>
    </row>
    <row r="2441" customFormat="false" ht="13.35" hidden="false" customHeight="true" outlineLevel="0" collapsed="false">
      <c r="A2441" s="2" t="str">
        <f aca="false">HYPERLINK("https://www.fabsurplus.com/sdi_catalog/salesItemDetails.do?id=92438")</f>
        <v>https://www.fabsurplus.com/sdi_catalog/salesItemDetails.do?id=92438</v>
      </c>
      <c r="B2441" s="2" t="s">
        <v>6511</v>
      </c>
      <c r="C2441" s="2" t="s">
        <v>6261</v>
      </c>
      <c r="D2441" s="2" t="s">
        <v>6512</v>
      </c>
      <c r="E2441" s="2" t="s">
        <v>41</v>
      </c>
      <c r="F2441" s="2" t="s">
        <v>4517</v>
      </c>
      <c r="G2441" s="2"/>
      <c r="H2441" s="2"/>
      <c r="I2441" s="2"/>
      <c r="J2441" s="2" t="s">
        <v>47</v>
      </c>
      <c r="K2441" s="2"/>
      <c r="L2441" s="4" t="s">
        <v>6513</v>
      </c>
    </row>
    <row r="2442" customFormat="false" ht="13.35" hidden="false" customHeight="true" outlineLevel="0" collapsed="false">
      <c r="A2442" s="5" t="str">
        <f aca="false">HYPERLINK("https://www.fabsurplus.com/sdi_catalog/salesItemDetails.do?id=86067")</f>
        <v>https://www.fabsurplus.com/sdi_catalog/salesItemDetails.do?id=86067</v>
      </c>
      <c r="B2442" s="5" t="s">
        <v>6514</v>
      </c>
      <c r="C2442" s="5" t="s">
        <v>6261</v>
      </c>
      <c r="D2442" s="5" t="s">
        <v>6515</v>
      </c>
      <c r="E2442" s="5" t="s">
        <v>41</v>
      </c>
      <c r="F2442" s="5" t="s">
        <v>16</v>
      </c>
      <c r="G2442" s="5"/>
      <c r="H2442" s="5" t="s">
        <v>18</v>
      </c>
      <c r="I2442" s="5"/>
      <c r="J2442" s="5" t="s">
        <v>47</v>
      </c>
      <c r="K2442" s="5" t="s">
        <v>20</v>
      </c>
      <c r="L2442" s="7" t="s">
        <v>55</v>
      </c>
    </row>
    <row r="2443" customFormat="false" ht="13.35" hidden="false" customHeight="true" outlineLevel="0" collapsed="false">
      <c r="A2443" s="2" t="str">
        <f aca="false">HYPERLINK("https://www.fabsurplus.com/sdi_catalog/salesItemDetails.do?id=92440")</f>
        <v>https://www.fabsurplus.com/sdi_catalog/salesItemDetails.do?id=92440</v>
      </c>
      <c r="B2443" s="2" t="s">
        <v>6516</v>
      </c>
      <c r="C2443" s="2" t="s">
        <v>6261</v>
      </c>
      <c r="D2443" s="2" t="s">
        <v>6515</v>
      </c>
      <c r="E2443" s="2" t="s">
        <v>41</v>
      </c>
      <c r="F2443" s="2" t="s">
        <v>16</v>
      </c>
      <c r="G2443" s="2"/>
      <c r="H2443" s="2"/>
      <c r="I2443" s="3" t="n">
        <v>37530</v>
      </c>
      <c r="J2443" s="2" t="s">
        <v>47</v>
      </c>
      <c r="K2443" s="2"/>
      <c r="L2443" s="4" t="s">
        <v>6517</v>
      </c>
    </row>
    <row r="2444" customFormat="false" ht="13.35" hidden="false" customHeight="true" outlineLevel="0" collapsed="false">
      <c r="A2444" s="5" t="str">
        <f aca="false">HYPERLINK("https://www.fabsurplus.com/sdi_catalog/salesItemDetails.do?id=102426")</f>
        <v>https://www.fabsurplus.com/sdi_catalog/salesItemDetails.do?id=102426</v>
      </c>
      <c r="B2444" s="5" t="s">
        <v>6518</v>
      </c>
      <c r="C2444" s="5" t="s">
        <v>6261</v>
      </c>
      <c r="D2444" s="5" t="s">
        <v>6519</v>
      </c>
      <c r="E2444" s="5" t="s">
        <v>2639</v>
      </c>
      <c r="F2444" s="5" t="s">
        <v>16</v>
      </c>
      <c r="G2444" s="5" t="s">
        <v>36</v>
      </c>
      <c r="H2444" s="5"/>
      <c r="I2444" s="6" t="n">
        <v>42887</v>
      </c>
      <c r="J2444" s="5" t="s">
        <v>19</v>
      </c>
      <c r="K2444" s="5"/>
      <c r="L2444" s="7" t="s">
        <v>6520</v>
      </c>
    </row>
    <row r="2445" customFormat="false" ht="13.35" hidden="false" customHeight="true" outlineLevel="0" collapsed="false">
      <c r="A2445" s="2" t="str">
        <f aca="false">HYPERLINK("https://www.fabsurplus.com/sdi_catalog/salesItemDetails.do?id=102427")</f>
        <v>https://www.fabsurplus.com/sdi_catalog/salesItemDetails.do?id=102427</v>
      </c>
      <c r="B2445" s="2" t="s">
        <v>6521</v>
      </c>
      <c r="C2445" s="2" t="s">
        <v>6261</v>
      </c>
      <c r="D2445" s="2" t="s">
        <v>6522</v>
      </c>
      <c r="E2445" s="2" t="s">
        <v>6523</v>
      </c>
      <c r="F2445" s="2" t="s">
        <v>16</v>
      </c>
      <c r="G2445" s="2" t="s">
        <v>17</v>
      </c>
      <c r="H2445" s="2"/>
      <c r="I2445" s="3" t="n">
        <v>40695</v>
      </c>
      <c r="J2445" s="2" t="s">
        <v>19</v>
      </c>
      <c r="K2445" s="2"/>
      <c r="L2445" s="2"/>
    </row>
    <row r="2446" customFormat="false" ht="13.35" hidden="false" customHeight="true" outlineLevel="0" collapsed="false">
      <c r="A2446" s="5" t="str">
        <f aca="false">HYPERLINK("https://www.fabsurplus.com/sdi_catalog/salesItemDetails.do?id=91335")</f>
        <v>https://www.fabsurplus.com/sdi_catalog/salesItemDetails.do?id=91335</v>
      </c>
      <c r="B2446" s="5" t="s">
        <v>6524</v>
      </c>
      <c r="C2446" s="5" t="s">
        <v>6276</v>
      </c>
      <c r="D2446" s="5" t="s">
        <v>6525</v>
      </c>
      <c r="E2446" s="5" t="s">
        <v>6526</v>
      </c>
      <c r="F2446" s="5" t="s">
        <v>16</v>
      </c>
      <c r="G2446" s="5" t="s">
        <v>36</v>
      </c>
      <c r="H2446" s="5"/>
      <c r="I2446" s="5"/>
      <c r="J2446" s="5" t="s">
        <v>19</v>
      </c>
      <c r="K2446" s="5"/>
      <c r="L2446" s="5" t="s">
        <v>112</v>
      </c>
    </row>
    <row r="2447" customFormat="false" ht="13.35" hidden="false" customHeight="true" outlineLevel="0" collapsed="false">
      <c r="A2447" s="2" t="str">
        <f aca="false">HYPERLINK("https://www.fabsurplus.com/sdi_catalog/salesItemDetails.do?id=91336")</f>
        <v>https://www.fabsurplus.com/sdi_catalog/salesItemDetails.do?id=91336</v>
      </c>
      <c r="B2447" s="2" t="s">
        <v>6527</v>
      </c>
      <c r="C2447" s="2" t="s">
        <v>6276</v>
      </c>
      <c r="D2447" s="2" t="s">
        <v>6525</v>
      </c>
      <c r="E2447" s="2" t="s">
        <v>6526</v>
      </c>
      <c r="F2447" s="2" t="s">
        <v>16</v>
      </c>
      <c r="G2447" s="2" t="s">
        <v>36</v>
      </c>
      <c r="H2447" s="2"/>
      <c r="I2447" s="2"/>
      <c r="J2447" s="2" t="s">
        <v>19</v>
      </c>
      <c r="K2447" s="2"/>
      <c r="L2447" s="2" t="s">
        <v>112</v>
      </c>
    </row>
    <row r="2448" customFormat="false" ht="13.35" hidden="false" customHeight="true" outlineLevel="0" collapsed="false">
      <c r="A2448" s="2" t="str">
        <f aca="false">HYPERLINK("https://www.fabsurplus.com/sdi_catalog/salesItemDetails.do?id=101807")</f>
        <v>https://www.fabsurplus.com/sdi_catalog/salesItemDetails.do?id=101807</v>
      </c>
      <c r="B2448" s="2" t="s">
        <v>6528</v>
      </c>
      <c r="C2448" s="2" t="s">
        <v>6261</v>
      </c>
      <c r="D2448" s="2" t="s">
        <v>6529</v>
      </c>
      <c r="E2448" s="2" t="s">
        <v>6530</v>
      </c>
      <c r="F2448" s="2" t="s">
        <v>16</v>
      </c>
      <c r="G2448" s="2" t="s">
        <v>17</v>
      </c>
      <c r="H2448" s="2"/>
      <c r="I2448" s="2"/>
      <c r="J2448" s="2" t="s">
        <v>47</v>
      </c>
      <c r="K2448" s="2"/>
      <c r="L2448" s="2"/>
    </row>
    <row r="2449" customFormat="false" ht="13.35" hidden="false" customHeight="true" outlineLevel="0" collapsed="false">
      <c r="A2449" s="5" t="str">
        <f aca="false">HYPERLINK("https://www.fabsurplus.com/sdi_catalog/salesItemDetails.do?id=102429")</f>
        <v>https://www.fabsurplus.com/sdi_catalog/salesItemDetails.do?id=102429</v>
      </c>
      <c r="B2449" s="5" t="s">
        <v>6531</v>
      </c>
      <c r="C2449" s="5" t="s">
        <v>6261</v>
      </c>
      <c r="D2449" s="5" t="s">
        <v>6532</v>
      </c>
      <c r="E2449" s="5" t="s">
        <v>6533</v>
      </c>
      <c r="F2449" s="5" t="s">
        <v>16</v>
      </c>
      <c r="G2449" s="5" t="s">
        <v>17</v>
      </c>
      <c r="H2449" s="5"/>
      <c r="I2449" s="6" t="n">
        <v>39234</v>
      </c>
      <c r="J2449" s="5" t="s">
        <v>19</v>
      </c>
      <c r="K2449" s="5"/>
      <c r="L2449" s="5"/>
    </row>
    <row r="2450" customFormat="false" ht="13.35" hidden="false" customHeight="true" outlineLevel="0" collapsed="false">
      <c r="A2450" s="5" t="str">
        <f aca="false">HYPERLINK("https://www.fabsurplus.com/sdi_catalog/salesItemDetails.do?id=102811")</f>
        <v>https://www.fabsurplus.com/sdi_catalog/salesItemDetails.do?id=102811</v>
      </c>
      <c r="B2450" s="5" t="s">
        <v>6534</v>
      </c>
      <c r="C2450" s="5" t="s">
        <v>6261</v>
      </c>
      <c r="D2450" s="5" t="s">
        <v>6535</v>
      </c>
      <c r="E2450" s="5" t="s">
        <v>653</v>
      </c>
      <c r="F2450" s="5" t="s">
        <v>16</v>
      </c>
      <c r="G2450" s="5" t="s">
        <v>17</v>
      </c>
      <c r="H2450" s="5"/>
      <c r="I2450" s="6" t="n">
        <v>41699</v>
      </c>
      <c r="J2450" s="5" t="s">
        <v>19</v>
      </c>
      <c r="K2450" s="5"/>
      <c r="L2450" s="5"/>
    </row>
    <row r="2451" customFormat="false" ht="13.35" hidden="false" customHeight="true" outlineLevel="0" collapsed="false">
      <c r="A2451" s="2" t="str">
        <f aca="false">HYPERLINK("https://www.fabsurplus.com/sdi_catalog/salesItemDetails.do?id=102433")</f>
        <v>https://www.fabsurplus.com/sdi_catalog/salesItemDetails.do?id=102433</v>
      </c>
      <c r="B2451" s="2" t="s">
        <v>6536</v>
      </c>
      <c r="C2451" s="2" t="s">
        <v>6261</v>
      </c>
      <c r="D2451" s="2" t="s">
        <v>6537</v>
      </c>
      <c r="E2451" s="2" t="s">
        <v>6538</v>
      </c>
      <c r="F2451" s="2" t="s">
        <v>16</v>
      </c>
      <c r="G2451" s="2" t="s">
        <v>17</v>
      </c>
      <c r="H2451" s="2"/>
      <c r="I2451" s="3" t="n">
        <v>40330</v>
      </c>
      <c r="J2451" s="2" t="s">
        <v>19</v>
      </c>
      <c r="K2451" s="2"/>
      <c r="L2451" s="2"/>
    </row>
    <row r="2452" customFormat="false" ht="13.35" hidden="false" customHeight="true" outlineLevel="0" collapsed="false">
      <c r="A2452" s="2" t="str">
        <f aca="false">HYPERLINK("https://www.fabsurplus.com/sdi_catalog/salesItemDetails.do?id=101808")</f>
        <v>https://www.fabsurplus.com/sdi_catalog/salesItemDetails.do?id=101808</v>
      </c>
      <c r="B2452" s="2" t="s">
        <v>6539</v>
      </c>
      <c r="C2452" s="2" t="s">
        <v>6261</v>
      </c>
      <c r="D2452" s="2" t="s">
        <v>6540</v>
      </c>
      <c r="E2452" s="2" t="s">
        <v>6541</v>
      </c>
      <c r="F2452" s="2" t="s">
        <v>16</v>
      </c>
      <c r="G2452" s="2" t="s">
        <v>36</v>
      </c>
      <c r="H2452" s="2"/>
      <c r="I2452" s="3" t="n">
        <v>33725</v>
      </c>
      <c r="J2452" s="2" t="s">
        <v>47</v>
      </c>
      <c r="K2452" s="2"/>
      <c r="L2452" s="2"/>
    </row>
    <row r="2453" customFormat="false" ht="13.35" hidden="false" customHeight="true" outlineLevel="0" collapsed="false">
      <c r="A2453" s="5" t="str">
        <f aca="false">HYPERLINK("https://www.fabsurplus.com/sdi_catalog/salesItemDetails.do?id=91337")</f>
        <v>https://www.fabsurplus.com/sdi_catalog/salesItemDetails.do?id=91337</v>
      </c>
      <c r="B2453" s="5" t="s">
        <v>6542</v>
      </c>
      <c r="C2453" s="5" t="s">
        <v>6276</v>
      </c>
      <c r="D2453" s="5" t="s">
        <v>6543</v>
      </c>
      <c r="E2453" s="5" t="s">
        <v>896</v>
      </c>
      <c r="F2453" s="5" t="s">
        <v>16</v>
      </c>
      <c r="G2453" s="5" t="s">
        <v>36</v>
      </c>
      <c r="H2453" s="5"/>
      <c r="I2453" s="6" t="n">
        <v>38869</v>
      </c>
      <c r="J2453" s="5" t="s">
        <v>19</v>
      </c>
      <c r="K2453" s="5"/>
      <c r="L2453" s="5" t="s">
        <v>112</v>
      </c>
    </row>
    <row r="2454" customFormat="false" ht="13.35" hidden="false" customHeight="true" outlineLevel="0" collapsed="false">
      <c r="A2454" s="5" t="str">
        <f aca="false">HYPERLINK("https://www.fabsurplus.com/sdi_catalog/salesItemDetails.do?id=91338")</f>
        <v>https://www.fabsurplus.com/sdi_catalog/salesItemDetails.do?id=91338</v>
      </c>
      <c r="B2454" s="5" t="s">
        <v>6544</v>
      </c>
      <c r="C2454" s="5" t="s">
        <v>6276</v>
      </c>
      <c r="D2454" s="5" t="s">
        <v>6543</v>
      </c>
      <c r="E2454" s="5" t="s">
        <v>896</v>
      </c>
      <c r="F2454" s="5" t="s">
        <v>16</v>
      </c>
      <c r="G2454" s="5" t="s">
        <v>36</v>
      </c>
      <c r="H2454" s="5"/>
      <c r="I2454" s="6" t="n">
        <v>34486</v>
      </c>
      <c r="J2454" s="5" t="s">
        <v>19</v>
      </c>
      <c r="K2454" s="5"/>
      <c r="L2454" s="5" t="s">
        <v>112</v>
      </c>
    </row>
    <row r="2455" customFormat="false" ht="13.35" hidden="false" customHeight="true" outlineLevel="0" collapsed="false">
      <c r="A2455" s="5" t="str">
        <f aca="false">HYPERLINK("https://www.fabsurplus.com/sdi_catalog/salesItemDetails.do?id=91339")</f>
        <v>https://www.fabsurplus.com/sdi_catalog/salesItemDetails.do?id=91339</v>
      </c>
      <c r="B2455" s="5" t="s">
        <v>6545</v>
      </c>
      <c r="C2455" s="5" t="s">
        <v>6276</v>
      </c>
      <c r="D2455" s="5" t="s">
        <v>6543</v>
      </c>
      <c r="E2455" s="5" t="s">
        <v>896</v>
      </c>
      <c r="F2455" s="5" t="s">
        <v>16</v>
      </c>
      <c r="G2455" s="5" t="s">
        <v>36</v>
      </c>
      <c r="H2455" s="5"/>
      <c r="I2455" s="6" t="n">
        <v>34851</v>
      </c>
      <c r="J2455" s="5" t="s">
        <v>19</v>
      </c>
      <c r="K2455" s="5"/>
      <c r="L2455" s="5" t="s">
        <v>112</v>
      </c>
    </row>
    <row r="2456" customFormat="false" ht="13.35" hidden="false" customHeight="true" outlineLevel="0" collapsed="false">
      <c r="A2456" s="5" t="str">
        <f aca="false">HYPERLINK("https://www.fabsurplus.com/sdi_catalog/salesItemDetails.do?id=91340")</f>
        <v>https://www.fabsurplus.com/sdi_catalog/salesItemDetails.do?id=91340</v>
      </c>
      <c r="B2456" s="5" t="s">
        <v>6546</v>
      </c>
      <c r="C2456" s="5" t="s">
        <v>6276</v>
      </c>
      <c r="D2456" s="5" t="s">
        <v>6543</v>
      </c>
      <c r="E2456" s="5" t="s">
        <v>896</v>
      </c>
      <c r="F2456" s="5" t="s">
        <v>16</v>
      </c>
      <c r="G2456" s="5" t="s">
        <v>36</v>
      </c>
      <c r="H2456" s="5"/>
      <c r="I2456" s="6" t="n">
        <v>38869</v>
      </c>
      <c r="J2456" s="5" t="s">
        <v>19</v>
      </c>
      <c r="K2456" s="5"/>
      <c r="L2456" s="5" t="s">
        <v>112</v>
      </c>
    </row>
    <row r="2457" customFormat="false" ht="13.35" hidden="false" customHeight="true" outlineLevel="0" collapsed="false">
      <c r="A2457" s="2" t="str">
        <f aca="false">HYPERLINK("https://www.fabsurplus.com/sdi_catalog/salesItemDetails.do?id=102812")</f>
        <v>https://www.fabsurplus.com/sdi_catalog/salesItemDetails.do?id=102812</v>
      </c>
      <c r="B2457" s="2" t="s">
        <v>6547</v>
      </c>
      <c r="C2457" s="2" t="s">
        <v>6261</v>
      </c>
      <c r="D2457" s="2" t="s">
        <v>6548</v>
      </c>
      <c r="E2457" s="2" t="s">
        <v>3934</v>
      </c>
      <c r="F2457" s="2" t="s">
        <v>16</v>
      </c>
      <c r="G2457" s="2" t="s">
        <v>17</v>
      </c>
      <c r="H2457" s="2"/>
      <c r="I2457" s="3" t="n">
        <v>42186</v>
      </c>
      <c r="J2457" s="2" t="s">
        <v>19</v>
      </c>
      <c r="K2457" s="2"/>
      <c r="L2457" s="4" t="s">
        <v>6549</v>
      </c>
    </row>
    <row r="2458" customFormat="false" ht="13.35" hidden="false" customHeight="true" outlineLevel="0" collapsed="false">
      <c r="A2458" s="5" t="str">
        <f aca="false">HYPERLINK("https://www.fabsurplus.com/sdi_catalog/salesItemDetails.do?id=102813")</f>
        <v>https://www.fabsurplus.com/sdi_catalog/salesItemDetails.do?id=102813</v>
      </c>
      <c r="B2458" s="5" t="s">
        <v>6550</v>
      </c>
      <c r="C2458" s="5" t="s">
        <v>6261</v>
      </c>
      <c r="D2458" s="5" t="s">
        <v>6548</v>
      </c>
      <c r="E2458" s="5" t="s">
        <v>3934</v>
      </c>
      <c r="F2458" s="5" t="s">
        <v>16</v>
      </c>
      <c r="G2458" s="5" t="s">
        <v>17</v>
      </c>
      <c r="H2458" s="5"/>
      <c r="I2458" s="6" t="n">
        <v>42156</v>
      </c>
      <c r="J2458" s="5" t="s">
        <v>19</v>
      </c>
      <c r="K2458" s="5"/>
      <c r="L2458" s="7" t="s">
        <v>6551</v>
      </c>
    </row>
    <row r="2459" customFormat="false" ht="13.35" hidden="false" customHeight="true" outlineLevel="0" collapsed="false">
      <c r="A2459" s="2" t="str">
        <f aca="false">HYPERLINK("https://www.fabsurplus.com/sdi_catalog/salesItemDetails.do?id=102814")</f>
        <v>https://www.fabsurplus.com/sdi_catalog/salesItemDetails.do?id=102814</v>
      </c>
      <c r="B2459" s="2" t="s">
        <v>6552</v>
      </c>
      <c r="C2459" s="2" t="s">
        <v>6261</v>
      </c>
      <c r="D2459" s="2" t="s">
        <v>6548</v>
      </c>
      <c r="E2459" s="2" t="s">
        <v>3934</v>
      </c>
      <c r="F2459" s="2" t="s">
        <v>16</v>
      </c>
      <c r="G2459" s="2" t="s">
        <v>17</v>
      </c>
      <c r="H2459" s="2"/>
      <c r="I2459" s="3" t="n">
        <v>42156</v>
      </c>
      <c r="J2459" s="2" t="s">
        <v>19</v>
      </c>
      <c r="K2459" s="2"/>
      <c r="L2459" s="4" t="s">
        <v>6553</v>
      </c>
    </row>
    <row r="2460" customFormat="false" ht="13.35" hidden="false" customHeight="true" outlineLevel="0" collapsed="false">
      <c r="A2460" s="2" t="str">
        <f aca="false">HYPERLINK("https://www.fabsurplus.com/sdi_catalog/salesItemDetails.do?id=102815")</f>
        <v>https://www.fabsurplus.com/sdi_catalog/salesItemDetails.do?id=102815</v>
      </c>
      <c r="B2460" s="2" t="s">
        <v>6554</v>
      </c>
      <c r="C2460" s="2" t="s">
        <v>6261</v>
      </c>
      <c r="D2460" s="2" t="s">
        <v>6548</v>
      </c>
      <c r="E2460" s="2" t="s">
        <v>3934</v>
      </c>
      <c r="F2460" s="2" t="s">
        <v>16</v>
      </c>
      <c r="G2460" s="2" t="s">
        <v>17</v>
      </c>
      <c r="H2460" s="2"/>
      <c r="I2460" s="3" t="n">
        <v>42156</v>
      </c>
      <c r="J2460" s="2" t="s">
        <v>19</v>
      </c>
      <c r="K2460" s="2"/>
      <c r="L2460" s="4" t="s">
        <v>6553</v>
      </c>
    </row>
    <row r="2461" customFormat="false" ht="13.35" hidden="false" customHeight="true" outlineLevel="0" collapsed="false">
      <c r="A2461" s="5" t="str">
        <f aca="false">HYPERLINK("https://www.fabsurplus.com/sdi_catalog/salesItemDetails.do?id=102816")</f>
        <v>https://www.fabsurplus.com/sdi_catalog/salesItemDetails.do?id=102816</v>
      </c>
      <c r="B2461" s="5" t="s">
        <v>6555</v>
      </c>
      <c r="C2461" s="5" t="s">
        <v>6261</v>
      </c>
      <c r="D2461" s="5" t="s">
        <v>6548</v>
      </c>
      <c r="E2461" s="5" t="s">
        <v>6556</v>
      </c>
      <c r="F2461" s="5" t="s">
        <v>16</v>
      </c>
      <c r="G2461" s="5" t="s">
        <v>17</v>
      </c>
      <c r="H2461" s="5"/>
      <c r="I2461" s="5"/>
      <c r="J2461" s="5" t="s">
        <v>19</v>
      </c>
      <c r="K2461" s="5"/>
      <c r="L2461" s="5" t="s">
        <v>6557</v>
      </c>
    </row>
    <row r="2462" customFormat="false" ht="13.35" hidden="false" customHeight="true" outlineLevel="0" collapsed="false">
      <c r="A2462" s="2" t="str">
        <f aca="false">HYPERLINK("https://www.fabsurplus.com/sdi_catalog/salesItemDetails.do?id=102817")</f>
        <v>https://www.fabsurplus.com/sdi_catalog/salesItemDetails.do?id=102817</v>
      </c>
      <c r="B2462" s="2" t="s">
        <v>6558</v>
      </c>
      <c r="C2462" s="2" t="s">
        <v>6261</v>
      </c>
      <c r="D2462" s="2" t="s">
        <v>6559</v>
      </c>
      <c r="E2462" s="2" t="s">
        <v>3934</v>
      </c>
      <c r="F2462" s="2" t="s">
        <v>16</v>
      </c>
      <c r="G2462" s="2" t="s">
        <v>17</v>
      </c>
      <c r="H2462" s="2"/>
      <c r="I2462" s="2"/>
      <c r="J2462" s="2" t="s">
        <v>19</v>
      </c>
      <c r="K2462" s="2"/>
      <c r="L2462" s="2" t="s">
        <v>6560</v>
      </c>
    </row>
    <row r="2463" customFormat="false" ht="13.35" hidden="false" customHeight="true" outlineLevel="0" collapsed="false">
      <c r="A2463" s="5" t="str">
        <f aca="false">HYPERLINK("https://www.fabsurplus.com/sdi_catalog/salesItemDetails.do?id=102818")</f>
        <v>https://www.fabsurplus.com/sdi_catalog/salesItemDetails.do?id=102818</v>
      </c>
      <c r="B2463" s="5" t="s">
        <v>6561</v>
      </c>
      <c r="C2463" s="5" t="s">
        <v>6261</v>
      </c>
      <c r="D2463" s="5" t="s">
        <v>6559</v>
      </c>
      <c r="E2463" s="5" t="s">
        <v>3934</v>
      </c>
      <c r="F2463" s="5" t="s">
        <v>16</v>
      </c>
      <c r="G2463" s="5" t="s">
        <v>17</v>
      </c>
      <c r="H2463" s="5"/>
      <c r="I2463" s="5"/>
      <c r="J2463" s="5" t="s">
        <v>19</v>
      </c>
      <c r="K2463" s="5"/>
      <c r="L2463" s="5" t="s">
        <v>6560</v>
      </c>
    </row>
    <row r="2464" customFormat="false" ht="13.35" hidden="false" customHeight="true" outlineLevel="0" collapsed="false">
      <c r="A2464" s="2" t="str">
        <f aca="false">HYPERLINK("https://www.fabsurplus.com/sdi_catalog/salesItemDetails.do?id=87287")</f>
        <v>https://www.fabsurplus.com/sdi_catalog/salesItemDetails.do?id=87287</v>
      </c>
      <c r="B2464" s="2" t="s">
        <v>6562</v>
      </c>
      <c r="C2464" s="2" t="s">
        <v>6261</v>
      </c>
      <c r="D2464" s="2" t="s">
        <v>6559</v>
      </c>
      <c r="E2464" s="2" t="s">
        <v>6429</v>
      </c>
      <c r="F2464" s="2" t="s">
        <v>16</v>
      </c>
      <c r="G2464" s="2" t="s">
        <v>17</v>
      </c>
      <c r="H2464" s="2" t="s">
        <v>26</v>
      </c>
      <c r="I2464" s="3" t="n">
        <v>38139</v>
      </c>
      <c r="J2464" s="2" t="s">
        <v>19</v>
      </c>
      <c r="K2464" s="2" t="s">
        <v>20</v>
      </c>
      <c r="L2464" s="4" t="s">
        <v>6563</v>
      </c>
    </row>
    <row r="2465" customFormat="false" ht="13.35" hidden="false" customHeight="true" outlineLevel="0" collapsed="false">
      <c r="A2465" s="2" t="str">
        <f aca="false">HYPERLINK("https://www.fabsurplus.com/sdi_catalog/salesItemDetails.do?id=91259")</f>
        <v>https://www.fabsurplus.com/sdi_catalog/salesItemDetails.do?id=91259</v>
      </c>
      <c r="B2465" s="2" t="s">
        <v>6564</v>
      </c>
      <c r="C2465" s="2" t="s">
        <v>6276</v>
      </c>
      <c r="D2465" s="2" t="s">
        <v>6565</v>
      </c>
      <c r="E2465" s="2" t="s">
        <v>6566</v>
      </c>
      <c r="F2465" s="2" t="s">
        <v>16</v>
      </c>
      <c r="G2465" s="2" t="s">
        <v>17</v>
      </c>
      <c r="H2465" s="2"/>
      <c r="I2465" s="2"/>
      <c r="J2465" s="2" t="s">
        <v>19</v>
      </c>
      <c r="K2465" s="2"/>
      <c r="L2465" s="2" t="s">
        <v>112</v>
      </c>
    </row>
    <row r="2466" customFormat="false" ht="13.35" hidden="false" customHeight="true" outlineLevel="0" collapsed="false">
      <c r="A2466" s="5" t="str">
        <f aca="false">HYPERLINK("https://www.fabsurplus.com/sdi_catalog/salesItemDetails.do?id=102434")</f>
        <v>https://www.fabsurplus.com/sdi_catalog/salesItemDetails.do?id=102434</v>
      </c>
      <c r="B2466" s="5" t="s">
        <v>6567</v>
      </c>
      <c r="C2466" s="5" t="s">
        <v>6261</v>
      </c>
      <c r="D2466" s="5" t="s">
        <v>6568</v>
      </c>
      <c r="E2466" s="5" t="s">
        <v>3934</v>
      </c>
      <c r="F2466" s="5" t="s">
        <v>16</v>
      </c>
      <c r="G2466" s="5" t="s">
        <v>17</v>
      </c>
      <c r="H2466" s="5"/>
      <c r="I2466" s="6" t="n">
        <v>40330</v>
      </c>
      <c r="J2466" s="5" t="s">
        <v>19</v>
      </c>
      <c r="K2466" s="5"/>
      <c r="L2466" s="5"/>
    </row>
    <row r="2467" customFormat="false" ht="13.35" hidden="false" customHeight="true" outlineLevel="0" collapsed="false">
      <c r="A2467" s="5" t="str">
        <f aca="false">HYPERLINK("https://www.fabsurplus.com/sdi_catalog/salesItemDetails.do?id=102821")</f>
        <v>https://www.fabsurplus.com/sdi_catalog/salesItemDetails.do?id=102821</v>
      </c>
      <c r="B2467" s="5" t="s">
        <v>6569</v>
      </c>
      <c r="C2467" s="5" t="s">
        <v>6261</v>
      </c>
      <c r="D2467" s="5" t="s">
        <v>6570</v>
      </c>
      <c r="E2467" s="5" t="s">
        <v>6556</v>
      </c>
      <c r="F2467" s="5" t="s">
        <v>16</v>
      </c>
      <c r="G2467" s="5" t="s">
        <v>17</v>
      </c>
      <c r="H2467" s="5"/>
      <c r="I2467" s="5"/>
      <c r="J2467" s="5" t="s">
        <v>19</v>
      </c>
      <c r="K2467" s="5"/>
      <c r="L2467" s="5" t="s">
        <v>6571</v>
      </c>
    </row>
    <row r="2468" customFormat="false" ht="13.35" hidden="false" customHeight="true" outlineLevel="0" collapsed="false">
      <c r="A2468" s="2" t="str">
        <f aca="false">HYPERLINK("https://www.fabsurplus.com/sdi_catalog/salesItemDetails.do?id=103130")</f>
        <v>https://www.fabsurplus.com/sdi_catalog/salesItemDetails.do?id=103130</v>
      </c>
      <c r="B2468" s="2" t="s">
        <v>6572</v>
      </c>
      <c r="C2468" s="2" t="s">
        <v>6261</v>
      </c>
      <c r="D2468" s="2" t="s">
        <v>6573</v>
      </c>
      <c r="E2468" s="2" t="s">
        <v>1167</v>
      </c>
      <c r="F2468" s="2" t="s">
        <v>16</v>
      </c>
      <c r="G2468" s="2" t="s">
        <v>658</v>
      </c>
      <c r="H2468" s="2"/>
      <c r="I2468" s="3" t="n">
        <v>37773</v>
      </c>
      <c r="J2468" s="2" t="s">
        <v>19</v>
      </c>
      <c r="K2468" s="2"/>
      <c r="L2468" s="4" t="s">
        <v>6574</v>
      </c>
    </row>
    <row r="2469" customFormat="false" ht="13.35" hidden="false" customHeight="true" outlineLevel="0" collapsed="false">
      <c r="A2469" s="5" t="str">
        <f aca="false">HYPERLINK("https://www.fabsurplus.com/sdi_catalog/salesItemDetails.do?id=91341")</f>
        <v>https://www.fabsurplus.com/sdi_catalog/salesItemDetails.do?id=91341</v>
      </c>
      <c r="B2469" s="5" t="s">
        <v>6575</v>
      </c>
      <c r="C2469" s="5" t="s">
        <v>6276</v>
      </c>
      <c r="D2469" s="5" t="s">
        <v>6576</v>
      </c>
      <c r="E2469" s="5" t="s">
        <v>6577</v>
      </c>
      <c r="F2469" s="5" t="s">
        <v>16</v>
      </c>
      <c r="G2469" s="5" t="s">
        <v>17</v>
      </c>
      <c r="H2469" s="5"/>
      <c r="I2469" s="6" t="n">
        <v>39234</v>
      </c>
      <c r="J2469" s="5" t="s">
        <v>19</v>
      </c>
      <c r="K2469" s="5"/>
      <c r="L2469" s="5" t="s">
        <v>112</v>
      </c>
    </row>
    <row r="2470" customFormat="false" ht="13.35" hidden="false" customHeight="true" outlineLevel="0" collapsed="false">
      <c r="A2470" s="2" t="str">
        <f aca="false">HYPERLINK("https://www.fabsurplus.com/sdi_catalog/salesItemDetails.do?id=103131")</f>
        <v>https://www.fabsurplus.com/sdi_catalog/salesItemDetails.do?id=103131</v>
      </c>
      <c r="B2470" s="2" t="s">
        <v>6578</v>
      </c>
      <c r="C2470" s="2" t="s">
        <v>6261</v>
      </c>
      <c r="D2470" s="2" t="s">
        <v>6579</v>
      </c>
      <c r="E2470" s="2" t="s">
        <v>1167</v>
      </c>
      <c r="F2470" s="2" t="s">
        <v>16</v>
      </c>
      <c r="G2470" s="2" t="s">
        <v>658</v>
      </c>
      <c r="H2470" s="2"/>
      <c r="I2470" s="3" t="n">
        <v>39234</v>
      </c>
      <c r="J2470" s="2" t="s">
        <v>19</v>
      </c>
      <c r="K2470" s="2"/>
      <c r="L2470" s="4" t="s">
        <v>6580</v>
      </c>
    </row>
    <row r="2471" customFormat="false" ht="13.35" hidden="false" customHeight="true" outlineLevel="0" collapsed="false">
      <c r="A2471" s="5" t="str">
        <f aca="false">HYPERLINK("https://www.fabsurplus.com/sdi_catalog/salesItemDetails.do?id=103132")</f>
        <v>https://www.fabsurplus.com/sdi_catalog/salesItemDetails.do?id=103132</v>
      </c>
      <c r="B2471" s="5" t="s">
        <v>6581</v>
      </c>
      <c r="C2471" s="5" t="s">
        <v>6261</v>
      </c>
      <c r="D2471" s="5" t="s">
        <v>6579</v>
      </c>
      <c r="E2471" s="5" t="s">
        <v>1167</v>
      </c>
      <c r="F2471" s="5" t="s">
        <v>16</v>
      </c>
      <c r="G2471" s="5" t="s">
        <v>658</v>
      </c>
      <c r="H2471" s="5"/>
      <c r="I2471" s="5"/>
      <c r="J2471" s="5" t="s">
        <v>19</v>
      </c>
      <c r="K2471" s="5"/>
      <c r="L2471" s="5" t="s">
        <v>6582</v>
      </c>
    </row>
    <row r="2472" customFormat="false" ht="13.35" hidden="false" customHeight="true" outlineLevel="0" collapsed="false">
      <c r="A2472" s="2" t="str">
        <f aca="false">HYPERLINK("https://www.fabsurplus.com/sdi_catalog/salesItemDetails.do?id=102825")</f>
        <v>https://www.fabsurplus.com/sdi_catalog/salesItemDetails.do?id=102825</v>
      </c>
      <c r="B2472" s="2" t="s">
        <v>6583</v>
      </c>
      <c r="C2472" s="2" t="s">
        <v>6261</v>
      </c>
      <c r="D2472" s="2" t="s">
        <v>6579</v>
      </c>
      <c r="E2472" s="2" t="s">
        <v>6584</v>
      </c>
      <c r="F2472" s="2" t="s">
        <v>16</v>
      </c>
      <c r="G2472" s="2" t="s">
        <v>17</v>
      </c>
      <c r="H2472" s="2"/>
      <c r="I2472" s="2"/>
      <c r="J2472" s="2" t="s">
        <v>19</v>
      </c>
      <c r="K2472" s="2"/>
      <c r="L2472" s="4" t="s">
        <v>6585</v>
      </c>
    </row>
    <row r="2473" customFormat="false" ht="13.35" hidden="false" customHeight="true" outlineLevel="0" collapsed="false">
      <c r="A2473" s="5" t="str">
        <f aca="false">HYPERLINK("https://www.fabsurplus.com/sdi_catalog/salesItemDetails.do?id=102826")</f>
        <v>https://www.fabsurplus.com/sdi_catalog/salesItemDetails.do?id=102826</v>
      </c>
      <c r="B2473" s="5" t="s">
        <v>6586</v>
      </c>
      <c r="C2473" s="5" t="s">
        <v>6261</v>
      </c>
      <c r="D2473" s="5" t="s">
        <v>6579</v>
      </c>
      <c r="E2473" s="5" t="s">
        <v>6584</v>
      </c>
      <c r="F2473" s="5" t="s">
        <v>16</v>
      </c>
      <c r="G2473" s="5" t="s">
        <v>17</v>
      </c>
      <c r="H2473" s="5"/>
      <c r="I2473" s="6" t="n">
        <v>39600</v>
      </c>
      <c r="J2473" s="5" t="s">
        <v>19</v>
      </c>
      <c r="K2473" s="5"/>
      <c r="L2473" s="7" t="s">
        <v>6587</v>
      </c>
    </row>
    <row r="2474" customFormat="false" ht="13.35" hidden="false" customHeight="true" outlineLevel="0" collapsed="false">
      <c r="A2474" s="2" t="str">
        <f aca="false">HYPERLINK("https://www.fabsurplus.com/sdi_catalog/salesItemDetails.do?id=98307")</f>
        <v>https://www.fabsurplus.com/sdi_catalog/salesItemDetails.do?id=98307</v>
      </c>
      <c r="B2474" s="2" t="s">
        <v>6588</v>
      </c>
      <c r="C2474" s="2" t="s">
        <v>6261</v>
      </c>
      <c r="D2474" s="2" t="s">
        <v>6589</v>
      </c>
      <c r="E2474" s="2" t="s">
        <v>829</v>
      </c>
      <c r="F2474" s="2" t="s">
        <v>16</v>
      </c>
      <c r="G2474" s="2" t="s">
        <v>17</v>
      </c>
      <c r="H2474" s="2"/>
      <c r="I2474" s="2"/>
      <c r="J2474" s="2" t="s">
        <v>19</v>
      </c>
      <c r="K2474" s="2"/>
      <c r="L2474" s="2"/>
    </row>
    <row r="2475" customFormat="false" ht="13.35" hidden="false" customHeight="true" outlineLevel="0" collapsed="false">
      <c r="A2475" s="2" t="str">
        <f aca="false">HYPERLINK("https://www.fabsurplus.com/sdi_catalog/salesItemDetails.do?id=102436")</f>
        <v>https://www.fabsurplus.com/sdi_catalog/salesItemDetails.do?id=102436</v>
      </c>
      <c r="B2475" s="2" t="s">
        <v>6590</v>
      </c>
      <c r="C2475" s="2" t="s">
        <v>6261</v>
      </c>
      <c r="D2475" s="2" t="s">
        <v>6591</v>
      </c>
      <c r="E2475" s="2" t="s">
        <v>6592</v>
      </c>
      <c r="F2475" s="2" t="s">
        <v>16</v>
      </c>
      <c r="G2475" s="2" t="s">
        <v>17</v>
      </c>
      <c r="H2475" s="2"/>
      <c r="I2475" s="3" t="n">
        <v>38869</v>
      </c>
      <c r="J2475" s="2" t="s">
        <v>19</v>
      </c>
      <c r="K2475" s="2"/>
      <c r="L2475" s="2"/>
    </row>
    <row r="2476" customFormat="false" ht="13.35" hidden="false" customHeight="true" outlineLevel="0" collapsed="false">
      <c r="A2476" s="2" t="str">
        <f aca="false">HYPERLINK("https://www.fabsurplus.com/sdi_catalog/salesItemDetails.do?id=102437")</f>
        <v>https://www.fabsurplus.com/sdi_catalog/salesItemDetails.do?id=102437</v>
      </c>
      <c r="B2476" s="2" t="s">
        <v>6593</v>
      </c>
      <c r="C2476" s="2" t="s">
        <v>6261</v>
      </c>
      <c r="D2476" s="2" t="s">
        <v>6591</v>
      </c>
      <c r="E2476" s="2" t="s">
        <v>6594</v>
      </c>
      <c r="F2476" s="2" t="s">
        <v>16</v>
      </c>
      <c r="G2476" s="2" t="s">
        <v>17</v>
      </c>
      <c r="H2476" s="2"/>
      <c r="I2476" s="3" t="n">
        <v>41061</v>
      </c>
      <c r="J2476" s="2" t="s">
        <v>19</v>
      </c>
      <c r="K2476" s="2"/>
      <c r="L2476" s="2"/>
    </row>
    <row r="2477" customFormat="false" ht="13.35" hidden="false" customHeight="true" outlineLevel="0" collapsed="false">
      <c r="A2477" s="5" t="str">
        <f aca="false">HYPERLINK("https://www.fabsurplus.com/sdi_catalog/salesItemDetails.do?id=91242")</f>
        <v>https://www.fabsurplus.com/sdi_catalog/salesItemDetails.do?id=91242</v>
      </c>
      <c r="B2477" s="5" t="s">
        <v>6595</v>
      </c>
      <c r="C2477" s="5" t="s">
        <v>6276</v>
      </c>
      <c r="D2477" s="5" t="s">
        <v>6596</v>
      </c>
      <c r="E2477" s="5" t="s">
        <v>6597</v>
      </c>
      <c r="F2477" s="5" t="s">
        <v>16</v>
      </c>
      <c r="G2477" s="5" t="s">
        <v>17</v>
      </c>
      <c r="H2477" s="5"/>
      <c r="I2477" s="5"/>
      <c r="J2477" s="5" t="s">
        <v>19</v>
      </c>
      <c r="K2477" s="5"/>
      <c r="L2477" s="5" t="s">
        <v>112</v>
      </c>
    </row>
    <row r="2478" customFormat="false" ht="13.35" hidden="false" customHeight="true" outlineLevel="0" collapsed="false">
      <c r="A2478" s="2" t="str">
        <f aca="false">HYPERLINK("https://www.fabsurplus.com/sdi_catalog/salesItemDetails.do?id=91239")</f>
        <v>https://www.fabsurplus.com/sdi_catalog/salesItemDetails.do?id=91239</v>
      </c>
      <c r="B2478" s="2" t="s">
        <v>6598</v>
      </c>
      <c r="C2478" s="2" t="s">
        <v>6276</v>
      </c>
      <c r="D2478" s="2" t="s">
        <v>6596</v>
      </c>
      <c r="E2478" s="2" t="s">
        <v>6599</v>
      </c>
      <c r="F2478" s="2" t="s">
        <v>16</v>
      </c>
      <c r="G2478" s="2" t="s">
        <v>17</v>
      </c>
      <c r="H2478" s="2"/>
      <c r="I2478" s="2"/>
      <c r="J2478" s="2" t="s">
        <v>19</v>
      </c>
      <c r="K2478" s="2"/>
      <c r="L2478" s="2" t="s">
        <v>112</v>
      </c>
    </row>
    <row r="2479" customFormat="false" ht="13.35" hidden="false" customHeight="true" outlineLevel="0" collapsed="false">
      <c r="A2479" s="5" t="str">
        <f aca="false">HYPERLINK("https://www.fabsurplus.com/sdi_catalog/salesItemDetails.do?id=91240")</f>
        <v>https://www.fabsurplus.com/sdi_catalog/salesItemDetails.do?id=91240</v>
      </c>
      <c r="B2479" s="5" t="s">
        <v>6600</v>
      </c>
      <c r="C2479" s="5" t="s">
        <v>6276</v>
      </c>
      <c r="D2479" s="5" t="s">
        <v>6596</v>
      </c>
      <c r="E2479" s="5" t="s">
        <v>6599</v>
      </c>
      <c r="F2479" s="5" t="s">
        <v>16</v>
      </c>
      <c r="G2479" s="5" t="s">
        <v>17</v>
      </c>
      <c r="H2479" s="5"/>
      <c r="I2479" s="5"/>
      <c r="J2479" s="5" t="s">
        <v>19</v>
      </c>
      <c r="K2479" s="5"/>
      <c r="L2479" s="5" t="s">
        <v>112</v>
      </c>
    </row>
    <row r="2480" customFormat="false" ht="13.35" hidden="false" customHeight="true" outlineLevel="0" collapsed="false">
      <c r="A2480" s="2" t="str">
        <f aca="false">HYPERLINK("https://www.fabsurplus.com/sdi_catalog/salesItemDetails.do?id=91241")</f>
        <v>https://www.fabsurplus.com/sdi_catalog/salesItemDetails.do?id=91241</v>
      </c>
      <c r="B2480" s="2" t="s">
        <v>6601</v>
      </c>
      <c r="C2480" s="2" t="s">
        <v>6276</v>
      </c>
      <c r="D2480" s="2" t="s">
        <v>6596</v>
      </c>
      <c r="E2480" s="2" t="s">
        <v>6599</v>
      </c>
      <c r="F2480" s="2" t="s">
        <v>16</v>
      </c>
      <c r="G2480" s="2" t="s">
        <v>17</v>
      </c>
      <c r="H2480" s="2"/>
      <c r="I2480" s="2"/>
      <c r="J2480" s="2" t="s">
        <v>19</v>
      </c>
      <c r="K2480" s="2"/>
      <c r="L2480" s="2" t="s">
        <v>112</v>
      </c>
    </row>
    <row r="2481" customFormat="false" ht="13.35" hidden="false" customHeight="true" outlineLevel="0" collapsed="false">
      <c r="A2481" s="2" t="str">
        <f aca="false">HYPERLINK("https://www.fabsurplus.com/sdi_catalog/salesItemDetails.do?id=91243")</f>
        <v>https://www.fabsurplus.com/sdi_catalog/salesItemDetails.do?id=91243</v>
      </c>
      <c r="B2481" s="2" t="s">
        <v>6602</v>
      </c>
      <c r="C2481" s="2" t="s">
        <v>6276</v>
      </c>
      <c r="D2481" s="2" t="s">
        <v>6596</v>
      </c>
      <c r="E2481" s="2" t="s">
        <v>6599</v>
      </c>
      <c r="F2481" s="2" t="s">
        <v>16</v>
      </c>
      <c r="G2481" s="2" t="s">
        <v>17</v>
      </c>
      <c r="H2481" s="2"/>
      <c r="I2481" s="2"/>
      <c r="J2481" s="2" t="s">
        <v>19</v>
      </c>
      <c r="K2481" s="2"/>
      <c r="L2481" s="2" t="s">
        <v>112</v>
      </c>
    </row>
    <row r="2482" customFormat="false" ht="13.35" hidden="false" customHeight="true" outlineLevel="0" collapsed="false">
      <c r="A2482" s="2" t="str">
        <f aca="false">HYPERLINK("https://www.fabsurplus.com/sdi_catalog/salesItemDetails.do?id=91244")</f>
        <v>https://www.fabsurplus.com/sdi_catalog/salesItemDetails.do?id=91244</v>
      </c>
      <c r="B2482" s="2" t="s">
        <v>6603</v>
      </c>
      <c r="C2482" s="2" t="s">
        <v>6276</v>
      </c>
      <c r="D2482" s="2" t="s">
        <v>6596</v>
      </c>
      <c r="E2482" s="2" t="s">
        <v>6599</v>
      </c>
      <c r="F2482" s="2" t="s">
        <v>16</v>
      </c>
      <c r="G2482" s="2" t="s">
        <v>17</v>
      </c>
      <c r="H2482" s="2"/>
      <c r="I2482" s="2"/>
      <c r="J2482" s="2" t="s">
        <v>19</v>
      </c>
      <c r="K2482" s="2"/>
      <c r="L2482" s="2" t="s">
        <v>112</v>
      </c>
    </row>
    <row r="2483" customFormat="false" ht="13.35" hidden="false" customHeight="true" outlineLevel="0" collapsed="false">
      <c r="A2483" s="5" t="str">
        <f aca="false">HYPERLINK("https://www.fabsurplus.com/sdi_catalog/salesItemDetails.do?id=93054")</f>
        <v>https://www.fabsurplus.com/sdi_catalog/salesItemDetails.do?id=93054</v>
      </c>
      <c r="B2483" s="5" t="s">
        <v>6604</v>
      </c>
      <c r="C2483" s="5" t="s">
        <v>6276</v>
      </c>
      <c r="D2483" s="5" t="s">
        <v>6596</v>
      </c>
      <c r="E2483" s="5" t="s">
        <v>6605</v>
      </c>
      <c r="F2483" s="5" t="s">
        <v>16</v>
      </c>
      <c r="G2483" s="5" t="s">
        <v>663</v>
      </c>
      <c r="H2483" s="5"/>
      <c r="I2483" s="5"/>
      <c r="J2483" s="5" t="s">
        <v>19</v>
      </c>
      <c r="K2483" s="5"/>
      <c r="L2483" s="5" t="s">
        <v>112</v>
      </c>
    </row>
    <row r="2484" customFormat="false" ht="13.35" hidden="false" customHeight="true" outlineLevel="0" collapsed="false">
      <c r="A2484" s="2" t="str">
        <f aca="false">HYPERLINK("https://www.fabsurplus.com/sdi_catalog/salesItemDetails.do?id=93055")</f>
        <v>https://www.fabsurplus.com/sdi_catalog/salesItemDetails.do?id=93055</v>
      </c>
      <c r="B2484" s="2" t="s">
        <v>6606</v>
      </c>
      <c r="C2484" s="2" t="s">
        <v>6276</v>
      </c>
      <c r="D2484" s="2" t="s">
        <v>6596</v>
      </c>
      <c r="E2484" s="2" t="s">
        <v>6605</v>
      </c>
      <c r="F2484" s="2" t="s">
        <v>16</v>
      </c>
      <c r="G2484" s="2" t="s">
        <v>663</v>
      </c>
      <c r="H2484" s="2"/>
      <c r="I2484" s="2"/>
      <c r="J2484" s="2" t="s">
        <v>19</v>
      </c>
      <c r="K2484" s="2"/>
      <c r="L2484" s="2" t="s">
        <v>112</v>
      </c>
    </row>
    <row r="2485" customFormat="false" ht="13.35" hidden="false" customHeight="true" outlineLevel="0" collapsed="false">
      <c r="A2485" s="5" t="str">
        <f aca="false">HYPERLINK("https://www.fabsurplus.com/sdi_catalog/salesItemDetails.do?id=93056")</f>
        <v>https://www.fabsurplus.com/sdi_catalog/salesItemDetails.do?id=93056</v>
      </c>
      <c r="B2485" s="5" t="s">
        <v>6607</v>
      </c>
      <c r="C2485" s="5" t="s">
        <v>6276</v>
      </c>
      <c r="D2485" s="5" t="s">
        <v>6596</v>
      </c>
      <c r="E2485" s="5" t="s">
        <v>6605</v>
      </c>
      <c r="F2485" s="5" t="s">
        <v>16</v>
      </c>
      <c r="G2485" s="5" t="s">
        <v>663</v>
      </c>
      <c r="H2485" s="5"/>
      <c r="I2485" s="5"/>
      <c r="J2485" s="5" t="s">
        <v>19</v>
      </c>
      <c r="K2485" s="5"/>
      <c r="L2485" s="5" t="s">
        <v>112</v>
      </c>
    </row>
    <row r="2486" customFormat="false" ht="13.35" hidden="false" customHeight="true" outlineLevel="0" collapsed="false">
      <c r="A2486" s="2" t="str">
        <f aca="false">HYPERLINK("https://www.fabsurplus.com/sdi_catalog/salesItemDetails.do?id=93057")</f>
        <v>https://www.fabsurplus.com/sdi_catalog/salesItemDetails.do?id=93057</v>
      </c>
      <c r="B2486" s="2" t="s">
        <v>6608</v>
      </c>
      <c r="C2486" s="2" t="s">
        <v>6276</v>
      </c>
      <c r="D2486" s="2" t="s">
        <v>6596</v>
      </c>
      <c r="E2486" s="2" t="s">
        <v>6605</v>
      </c>
      <c r="F2486" s="2" t="s">
        <v>16</v>
      </c>
      <c r="G2486" s="2" t="s">
        <v>663</v>
      </c>
      <c r="H2486" s="2"/>
      <c r="I2486" s="2"/>
      <c r="J2486" s="2" t="s">
        <v>19</v>
      </c>
      <c r="K2486" s="2"/>
      <c r="L2486" s="2" t="s">
        <v>112</v>
      </c>
    </row>
    <row r="2487" customFormat="false" ht="13.35" hidden="false" customHeight="true" outlineLevel="0" collapsed="false">
      <c r="A2487" s="5" t="str">
        <f aca="false">HYPERLINK("https://www.fabsurplus.com/sdi_catalog/salesItemDetails.do?id=91245")</f>
        <v>https://www.fabsurplus.com/sdi_catalog/salesItemDetails.do?id=91245</v>
      </c>
      <c r="B2487" s="5" t="s">
        <v>6609</v>
      </c>
      <c r="C2487" s="5" t="s">
        <v>6276</v>
      </c>
      <c r="D2487" s="5" t="s">
        <v>6596</v>
      </c>
      <c r="E2487" s="5" t="s">
        <v>6610</v>
      </c>
      <c r="F2487" s="5" t="s">
        <v>16</v>
      </c>
      <c r="G2487" s="5" t="s">
        <v>17</v>
      </c>
      <c r="H2487" s="5"/>
      <c r="I2487" s="5"/>
      <c r="J2487" s="5" t="s">
        <v>19</v>
      </c>
      <c r="K2487" s="5"/>
      <c r="L2487" s="5" t="s">
        <v>112</v>
      </c>
    </row>
    <row r="2488" customFormat="false" ht="13.35" hidden="false" customHeight="true" outlineLevel="0" collapsed="false">
      <c r="A2488" s="5" t="str">
        <f aca="false">HYPERLINK("https://www.fabsurplus.com/sdi_catalog/salesItemDetails.do?id=94481")</f>
        <v>https://www.fabsurplus.com/sdi_catalog/salesItemDetails.do?id=94481</v>
      </c>
      <c r="B2488" s="5" t="s">
        <v>6611</v>
      </c>
      <c r="C2488" s="5" t="s">
        <v>6276</v>
      </c>
      <c r="D2488" s="5" t="s">
        <v>6612</v>
      </c>
      <c r="E2488" s="5" t="s">
        <v>2280</v>
      </c>
      <c r="F2488" s="5" t="s">
        <v>16</v>
      </c>
      <c r="G2488" s="5" t="s">
        <v>17</v>
      </c>
      <c r="H2488" s="5"/>
      <c r="I2488" s="6" t="n">
        <v>43252</v>
      </c>
      <c r="J2488" s="5" t="s">
        <v>19</v>
      </c>
      <c r="K2488" s="5"/>
      <c r="L2488" s="5"/>
    </row>
    <row r="2489" customFormat="false" ht="13.35" hidden="false" customHeight="true" outlineLevel="0" collapsed="false">
      <c r="A2489" s="2" t="str">
        <f aca="false">HYPERLINK("https://www.fabsurplus.com/sdi_catalog/salesItemDetails.do?id=94482")</f>
        <v>https://www.fabsurplus.com/sdi_catalog/salesItemDetails.do?id=94482</v>
      </c>
      <c r="B2489" s="2" t="s">
        <v>6613</v>
      </c>
      <c r="C2489" s="2" t="s">
        <v>6276</v>
      </c>
      <c r="D2489" s="2" t="s">
        <v>6612</v>
      </c>
      <c r="E2489" s="2" t="s">
        <v>2280</v>
      </c>
      <c r="F2489" s="2" t="s">
        <v>16</v>
      </c>
      <c r="G2489" s="2" t="s">
        <v>17</v>
      </c>
      <c r="H2489" s="2"/>
      <c r="I2489" s="3" t="n">
        <v>43252</v>
      </c>
      <c r="J2489" s="2" t="s">
        <v>19</v>
      </c>
      <c r="K2489" s="2"/>
      <c r="L2489" s="2"/>
    </row>
    <row r="2490" customFormat="false" ht="13.35" hidden="false" customHeight="true" outlineLevel="0" collapsed="false">
      <c r="A2490" s="2" t="str">
        <f aca="false">HYPERLINK("https://www.fabsurplus.com/sdi_catalog/salesItemDetails.do?id=103133")</f>
        <v>https://www.fabsurplus.com/sdi_catalog/salesItemDetails.do?id=103133</v>
      </c>
      <c r="B2490" s="2" t="s">
        <v>6614</v>
      </c>
      <c r="C2490" s="2" t="s">
        <v>6261</v>
      </c>
      <c r="D2490" s="2" t="s">
        <v>6615</v>
      </c>
      <c r="E2490" s="2" t="s">
        <v>6616</v>
      </c>
      <c r="F2490" s="2" t="s">
        <v>16</v>
      </c>
      <c r="G2490" s="2" t="s">
        <v>658</v>
      </c>
      <c r="H2490" s="2"/>
      <c r="I2490" s="2"/>
      <c r="J2490" s="2" t="s">
        <v>19</v>
      </c>
      <c r="K2490" s="2"/>
      <c r="L2490" s="2" t="s">
        <v>6617</v>
      </c>
    </row>
    <row r="2491" customFormat="false" ht="13.35" hidden="false" customHeight="true" outlineLevel="0" collapsed="false">
      <c r="A2491" s="5" t="str">
        <f aca="false">HYPERLINK("https://www.fabsurplus.com/sdi_catalog/salesItemDetails.do?id=103134")</f>
        <v>https://www.fabsurplus.com/sdi_catalog/salesItemDetails.do?id=103134</v>
      </c>
      <c r="B2491" s="5" t="s">
        <v>6618</v>
      </c>
      <c r="C2491" s="5" t="s">
        <v>6261</v>
      </c>
      <c r="D2491" s="5" t="s">
        <v>6619</v>
      </c>
      <c r="E2491" s="5" t="s">
        <v>6620</v>
      </c>
      <c r="F2491" s="5" t="s">
        <v>16</v>
      </c>
      <c r="G2491" s="5" t="s">
        <v>658</v>
      </c>
      <c r="H2491" s="5"/>
      <c r="I2491" s="5"/>
      <c r="J2491" s="5" t="s">
        <v>19</v>
      </c>
      <c r="K2491" s="5"/>
      <c r="L2491" s="7" t="s">
        <v>6621</v>
      </c>
    </row>
    <row r="2492" customFormat="false" ht="13.35" hidden="false" customHeight="true" outlineLevel="0" collapsed="false">
      <c r="A2492" s="2" t="str">
        <f aca="false">HYPERLINK("https://www.fabsurplus.com/sdi_catalog/salesItemDetails.do?id=102827")</f>
        <v>https://www.fabsurplus.com/sdi_catalog/salesItemDetails.do?id=102827</v>
      </c>
      <c r="B2492" s="2" t="s">
        <v>6622</v>
      </c>
      <c r="C2492" s="2" t="s">
        <v>6261</v>
      </c>
      <c r="D2492" s="2" t="s">
        <v>6619</v>
      </c>
      <c r="E2492" s="2" t="s">
        <v>6623</v>
      </c>
      <c r="F2492" s="2" t="s">
        <v>16</v>
      </c>
      <c r="G2492" s="2" t="s">
        <v>17</v>
      </c>
      <c r="H2492" s="2"/>
      <c r="I2492" s="3" t="n">
        <v>41548</v>
      </c>
      <c r="J2492" s="2" t="s">
        <v>19</v>
      </c>
      <c r="K2492" s="2"/>
      <c r="L2492" s="4" t="s">
        <v>6624</v>
      </c>
    </row>
    <row r="2493" customFormat="false" ht="13.35" hidden="false" customHeight="true" outlineLevel="0" collapsed="false">
      <c r="A2493" s="5" t="str">
        <f aca="false">HYPERLINK("https://www.fabsurplus.com/sdi_catalog/salesItemDetails.do?id=102828")</f>
        <v>https://www.fabsurplus.com/sdi_catalog/salesItemDetails.do?id=102828</v>
      </c>
      <c r="B2493" s="5" t="s">
        <v>6625</v>
      </c>
      <c r="C2493" s="5" t="s">
        <v>6261</v>
      </c>
      <c r="D2493" s="5" t="s">
        <v>6619</v>
      </c>
      <c r="E2493" s="5" t="s">
        <v>6626</v>
      </c>
      <c r="F2493" s="5" t="s">
        <v>16</v>
      </c>
      <c r="G2493" s="5" t="s">
        <v>17</v>
      </c>
      <c r="H2493" s="5"/>
      <c r="I2493" s="5"/>
      <c r="J2493" s="5" t="s">
        <v>19</v>
      </c>
      <c r="K2493" s="5"/>
      <c r="L2493" s="7" t="s">
        <v>6627</v>
      </c>
    </row>
    <row r="2494" customFormat="false" ht="13.35" hidden="false" customHeight="true" outlineLevel="0" collapsed="false">
      <c r="A2494" s="5" t="str">
        <f aca="false">HYPERLINK("https://www.fabsurplus.com/sdi_catalog/salesItemDetails.do?id=94483")</f>
        <v>https://www.fabsurplus.com/sdi_catalog/salesItemDetails.do?id=94483</v>
      </c>
      <c r="B2494" s="5" t="s">
        <v>6628</v>
      </c>
      <c r="C2494" s="5" t="s">
        <v>6276</v>
      </c>
      <c r="D2494" s="5" t="s">
        <v>6629</v>
      </c>
      <c r="E2494" s="5" t="s">
        <v>2280</v>
      </c>
      <c r="F2494" s="5" t="s">
        <v>16</v>
      </c>
      <c r="G2494" s="5" t="s">
        <v>17</v>
      </c>
      <c r="H2494" s="5"/>
      <c r="I2494" s="6" t="n">
        <v>43252</v>
      </c>
      <c r="J2494" s="5" t="s">
        <v>19</v>
      </c>
      <c r="K2494" s="5"/>
      <c r="L2494" s="5"/>
    </row>
    <row r="2495" customFormat="false" ht="13.35" hidden="false" customHeight="true" outlineLevel="0" collapsed="false">
      <c r="A2495" s="5" t="str">
        <f aca="false">HYPERLINK("https://www.fabsurplus.com/sdi_catalog/salesItemDetails.do?id=102830")</f>
        <v>https://www.fabsurplus.com/sdi_catalog/salesItemDetails.do?id=102830</v>
      </c>
      <c r="B2495" s="5" t="s">
        <v>6630</v>
      </c>
      <c r="C2495" s="5" t="s">
        <v>6261</v>
      </c>
      <c r="D2495" s="5" t="s">
        <v>6631</v>
      </c>
      <c r="E2495" s="5" t="s">
        <v>6632</v>
      </c>
      <c r="F2495" s="5" t="s">
        <v>16</v>
      </c>
      <c r="G2495" s="5" t="s">
        <v>17</v>
      </c>
      <c r="H2495" s="5"/>
      <c r="I2495" s="5"/>
      <c r="J2495" s="5" t="s">
        <v>19</v>
      </c>
      <c r="K2495" s="5"/>
      <c r="L2495" s="5" t="s">
        <v>6633</v>
      </c>
    </row>
    <row r="2496" customFormat="false" ht="13.35" hidden="false" customHeight="true" outlineLevel="0" collapsed="false">
      <c r="A2496" s="2" t="str">
        <f aca="false">HYPERLINK("https://www.fabsurplus.com/sdi_catalog/salesItemDetails.do?id=103135")</f>
        <v>https://www.fabsurplus.com/sdi_catalog/salesItemDetails.do?id=103135</v>
      </c>
      <c r="B2496" s="2" t="s">
        <v>6634</v>
      </c>
      <c r="C2496" s="2" t="s">
        <v>6261</v>
      </c>
      <c r="D2496" s="2" t="s">
        <v>6635</v>
      </c>
      <c r="E2496" s="2" t="s">
        <v>6616</v>
      </c>
      <c r="F2496" s="2" t="s">
        <v>16</v>
      </c>
      <c r="G2496" s="2" t="s">
        <v>658</v>
      </c>
      <c r="H2496" s="2"/>
      <c r="I2496" s="3" t="n">
        <v>41699</v>
      </c>
      <c r="J2496" s="2" t="s">
        <v>19</v>
      </c>
      <c r="K2496" s="2"/>
      <c r="L2496" s="4" t="s">
        <v>6636</v>
      </c>
    </row>
    <row r="2497" customFormat="false" ht="13.35" hidden="false" customHeight="true" outlineLevel="0" collapsed="false">
      <c r="A2497" s="5" t="str">
        <f aca="false">HYPERLINK("https://www.fabsurplus.com/sdi_catalog/salesItemDetails.do?id=102439")</f>
        <v>https://www.fabsurplus.com/sdi_catalog/salesItemDetails.do?id=102439</v>
      </c>
      <c r="B2497" s="5" t="s">
        <v>6637</v>
      </c>
      <c r="C2497" s="5" t="s">
        <v>6261</v>
      </c>
      <c r="D2497" s="5" t="s">
        <v>6638</v>
      </c>
      <c r="E2497" s="5" t="s">
        <v>6639</v>
      </c>
      <c r="F2497" s="5" t="s">
        <v>16</v>
      </c>
      <c r="G2497" s="5" t="s">
        <v>17</v>
      </c>
      <c r="H2497" s="5"/>
      <c r="I2497" s="6" t="n">
        <v>39234</v>
      </c>
      <c r="J2497" s="5" t="s">
        <v>19</v>
      </c>
      <c r="K2497" s="5"/>
      <c r="L2497" s="5"/>
    </row>
    <row r="2498" customFormat="false" ht="13.35" hidden="false" customHeight="true" outlineLevel="0" collapsed="false">
      <c r="A2498" s="2" t="str">
        <f aca="false">HYPERLINK("https://www.fabsurplus.com/sdi_catalog/salesItemDetails.do?id=98043")</f>
        <v>https://www.fabsurplus.com/sdi_catalog/salesItemDetails.do?id=98043</v>
      </c>
      <c r="B2498" s="2" t="s">
        <v>6640</v>
      </c>
      <c r="C2498" s="2" t="s">
        <v>6261</v>
      </c>
      <c r="D2498" s="2" t="s">
        <v>6641</v>
      </c>
      <c r="E2498" s="2" t="s">
        <v>6642</v>
      </c>
      <c r="F2498" s="2" t="s">
        <v>16</v>
      </c>
      <c r="G2498" s="2" t="s">
        <v>36</v>
      </c>
      <c r="H2498" s="2"/>
      <c r="I2498" s="3" t="n">
        <v>38139</v>
      </c>
      <c r="J2498" s="2" t="s">
        <v>19</v>
      </c>
      <c r="K2498" s="2"/>
      <c r="L2498" s="2"/>
    </row>
    <row r="2499" customFormat="false" ht="13.35" hidden="false" customHeight="true" outlineLevel="0" collapsed="false">
      <c r="A2499" s="5" t="str">
        <f aca="false">HYPERLINK("https://www.fabsurplus.com/sdi_catalog/salesItemDetails.do?id=98044")</f>
        <v>https://www.fabsurplus.com/sdi_catalog/salesItemDetails.do?id=98044</v>
      </c>
      <c r="B2499" s="5" t="s">
        <v>6643</v>
      </c>
      <c r="C2499" s="5" t="s">
        <v>6261</v>
      </c>
      <c r="D2499" s="5" t="s">
        <v>6644</v>
      </c>
      <c r="E2499" s="5" t="s">
        <v>6642</v>
      </c>
      <c r="F2499" s="5" t="s">
        <v>16</v>
      </c>
      <c r="G2499" s="5" t="s">
        <v>36</v>
      </c>
      <c r="H2499" s="5"/>
      <c r="I2499" s="6" t="n">
        <v>38504</v>
      </c>
      <c r="J2499" s="5" t="s">
        <v>19</v>
      </c>
      <c r="K2499" s="5"/>
      <c r="L2499" s="5"/>
    </row>
    <row r="2500" customFormat="false" ht="13.35" hidden="false" customHeight="true" outlineLevel="0" collapsed="false">
      <c r="A2500" s="5" t="str">
        <f aca="false">HYPERLINK("https://www.fabsurplus.com/sdi_catalog/salesItemDetails.do?id=96968")</f>
        <v>https://www.fabsurplus.com/sdi_catalog/salesItemDetails.do?id=96968</v>
      </c>
      <c r="B2500" s="5" t="s">
        <v>6645</v>
      </c>
      <c r="C2500" s="5" t="s">
        <v>6261</v>
      </c>
      <c r="D2500" s="5" t="s">
        <v>6646</v>
      </c>
      <c r="E2500" s="5" t="s">
        <v>6321</v>
      </c>
      <c r="F2500" s="5" t="s">
        <v>16</v>
      </c>
      <c r="G2500" s="5" t="s">
        <v>36</v>
      </c>
      <c r="H2500" s="5" t="s">
        <v>26</v>
      </c>
      <c r="I2500" s="5"/>
      <c r="J2500" s="5" t="s">
        <v>19</v>
      </c>
      <c r="K2500" s="5" t="s">
        <v>20</v>
      </c>
      <c r="L2500" s="5"/>
    </row>
    <row r="2501" customFormat="false" ht="13.35" hidden="false" customHeight="true" outlineLevel="0" collapsed="false">
      <c r="A2501" s="5" t="str">
        <f aca="false">HYPERLINK("https://www.fabsurplus.com/sdi_catalog/salesItemDetails.do?id=98846")</f>
        <v>https://www.fabsurplus.com/sdi_catalog/salesItemDetails.do?id=98846</v>
      </c>
      <c r="B2501" s="5" t="s">
        <v>6647</v>
      </c>
      <c r="C2501" s="5" t="s">
        <v>6261</v>
      </c>
      <c r="D2501" s="5" t="s">
        <v>6648</v>
      </c>
      <c r="E2501" s="5" t="s">
        <v>6639</v>
      </c>
      <c r="F2501" s="5" t="s">
        <v>16</v>
      </c>
      <c r="G2501" s="5" t="s">
        <v>17</v>
      </c>
      <c r="H2501" s="5" t="s">
        <v>26</v>
      </c>
      <c r="I2501" s="6" t="n">
        <v>39934</v>
      </c>
      <c r="J2501" s="5" t="s">
        <v>19</v>
      </c>
      <c r="K2501" s="5" t="s">
        <v>20</v>
      </c>
      <c r="L2501" s="7" t="s">
        <v>6649</v>
      </c>
    </row>
    <row r="2502" customFormat="false" ht="13.35" hidden="false" customHeight="true" outlineLevel="0" collapsed="false">
      <c r="A2502" s="2" t="str">
        <f aca="false">HYPERLINK("https://www.fabsurplus.com/sdi_catalog/salesItemDetails.do?id=93040")</f>
        <v>https://www.fabsurplus.com/sdi_catalog/salesItemDetails.do?id=93040</v>
      </c>
      <c r="B2502" s="2" t="s">
        <v>6650</v>
      </c>
      <c r="C2502" s="2" t="s">
        <v>6276</v>
      </c>
      <c r="D2502" s="2" t="s">
        <v>6651</v>
      </c>
      <c r="E2502" s="2" t="s">
        <v>6652</v>
      </c>
      <c r="F2502" s="2" t="s">
        <v>16</v>
      </c>
      <c r="G2502" s="2" t="s">
        <v>17</v>
      </c>
      <c r="H2502" s="2"/>
      <c r="I2502" s="3" t="n">
        <v>39965</v>
      </c>
      <c r="J2502" s="2" t="s">
        <v>19</v>
      </c>
      <c r="K2502" s="2"/>
      <c r="L2502" s="2" t="s">
        <v>112</v>
      </c>
    </row>
    <row r="2503" customFormat="false" ht="13.35" hidden="false" customHeight="true" outlineLevel="0" collapsed="false">
      <c r="A2503" s="5" t="str">
        <f aca="false">HYPERLINK("https://www.fabsurplus.com/sdi_catalog/salesItemDetails.do?id=93041")</f>
        <v>https://www.fabsurplus.com/sdi_catalog/salesItemDetails.do?id=93041</v>
      </c>
      <c r="B2503" s="5" t="s">
        <v>6653</v>
      </c>
      <c r="C2503" s="5" t="s">
        <v>6276</v>
      </c>
      <c r="D2503" s="5" t="s">
        <v>6651</v>
      </c>
      <c r="E2503" s="5" t="s">
        <v>6652</v>
      </c>
      <c r="F2503" s="5" t="s">
        <v>16</v>
      </c>
      <c r="G2503" s="5" t="s">
        <v>17</v>
      </c>
      <c r="H2503" s="5"/>
      <c r="I2503" s="6" t="n">
        <v>40330</v>
      </c>
      <c r="J2503" s="5" t="s">
        <v>19</v>
      </c>
      <c r="K2503" s="5"/>
      <c r="L2503" s="5" t="s">
        <v>112</v>
      </c>
    </row>
    <row r="2504" customFormat="false" ht="13.35" hidden="false" customHeight="true" outlineLevel="0" collapsed="false">
      <c r="A2504" s="5" t="str">
        <f aca="false">HYPERLINK("https://www.fabsurplus.com/sdi_catalog/salesItemDetails.do?id=93042")</f>
        <v>https://www.fabsurplus.com/sdi_catalog/salesItemDetails.do?id=93042</v>
      </c>
      <c r="B2504" s="5" t="s">
        <v>6654</v>
      </c>
      <c r="C2504" s="5" t="s">
        <v>6276</v>
      </c>
      <c r="D2504" s="5" t="s">
        <v>6651</v>
      </c>
      <c r="E2504" s="5" t="s">
        <v>6652</v>
      </c>
      <c r="F2504" s="5" t="s">
        <v>16</v>
      </c>
      <c r="G2504" s="5" t="s">
        <v>17</v>
      </c>
      <c r="H2504" s="5"/>
      <c r="I2504" s="6" t="n">
        <v>40330</v>
      </c>
      <c r="J2504" s="5" t="s">
        <v>19</v>
      </c>
      <c r="K2504" s="5"/>
      <c r="L2504" s="5" t="s">
        <v>112</v>
      </c>
    </row>
    <row r="2505" customFormat="false" ht="13.35" hidden="false" customHeight="true" outlineLevel="0" collapsed="false">
      <c r="A2505" s="2" t="str">
        <f aca="false">HYPERLINK("https://www.fabsurplus.com/sdi_catalog/salesItemDetails.do?id=98847")</f>
        <v>https://www.fabsurplus.com/sdi_catalog/salesItemDetails.do?id=98847</v>
      </c>
      <c r="B2505" s="2" t="s">
        <v>6655</v>
      </c>
      <c r="C2505" s="2" t="s">
        <v>6261</v>
      </c>
      <c r="D2505" s="2" t="s">
        <v>6656</v>
      </c>
      <c r="E2505" s="2" t="s">
        <v>6639</v>
      </c>
      <c r="F2505" s="2" t="s">
        <v>16</v>
      </c>
      <c r="G2505" s="2" t="s">
        <v>17</v>
      </c>
      <c r="H2505" s="2" t="s">
        <v>26</v>
      </c>
      <c r="I2505" s="3" t="n">
        <v>41487</v>
      </c>
      <c r="J2505" s="2" t="s">
        <v>19</v>
      </c>
      <c r="K2505" s="2" t="s">
        <v>20</v>
      </c>
      <c r="L2505" s="2" t="s">
        <v>474</v>
      </c>
    </row>
    <row r="2506" customFormat="false" ht="13.35" hidden="false" customHeight="true" outlineLevel="0" collapsed="false">
      <c r="A2506" s="2" t="str">
        <f aca="false">HYPERLINK("https://www.fabsurplus.com/sdi_catalog/salesItemDetails.do?id=91246")</f>
        <v>https://www.fabsurplus.com/sdi_catalog/salesItemDetails.do?id=91246</v>
      </c>
      <c r="B2506" s="2" t="s">
        <v>6657</v>
      </c>
      <c r="C2506" s="2" t="s">
        <v>6658</v>
      </c>
      <c r="D2506" s="2" t="s">
        <v>6659</v>
      </c>
      <c r="E2506" s="2" t="s">
        <v>6660</v>
      </c>
      <c r="F2506" s="2" t="s">
        <v>16</v>
      </c>
      <c r="G2506" s="2" t="s">
        <v>36</v>
      </c>
      <c r="H2506" s="2"/>
      <c r="I2506" s="3" t="n">
        <v>35217</v>
      </c>
      <c r="J2506" s="2" t="s">
        <v>19</v>
      </c>
      <c r="K2506" s="2"/>
      <c r="L2506" s="2" t="s">
        <v>112</v>
      </c>
    </row>
    <row r="2507" customFormat="false" ht="13.35" hidden="false" customHeight="true" outlineLevel="0" collapsed="false">
      <c r="A2507" s="2" t="str">
        <f aca="false">HYPERLINK("https://www.fabsurplus.com/sdi_catalog/salesItemDetails.do?id=103015")</f>
        <v>https://www.fabsurplus.com/sdi_catalog/salesItemDetails.do?id=103015</v>
      </c>
      <c r="B2507" s="2" t="s">
        <v>6661</v>
      </c>
      <c r="C2507" s="2" t="s">
        <v>6662</v>
      </c>
      <c r="D2507" s="2" t="s">
        <v>6663</v>
      </c>
      <c r="E2507" s="2" t="s">
        <v>6664</v>
      </c>
      <c r="F2507" s="2" t="s">
        <v>16</v>
      </c>
      <c r="G2507" s="2"/>
      <c r="H2507" s="2"/>
      <c r="I2507" s="2"/>
      <c r="J2507" s="2" t="s">
        <v>19</v>
      </c>
      <c r="K2507" s="2"/>
      <c r="L2507" s="4" t="s">
        <v>6665</v>
      </c>
    </row>
    <row r="2508" customFormat="false" ht="13.35" hidden="false" customHeight="true" outlineLevel="0" collapsed="false">
      <c r="A2508" s="5" t="str">
        <f aca="false">HYPERLINK("https://www.fabsurplus.com/sdi_catalog/salesItemDetails.do?id=103016")</f>
        <v>https://www.fabsurplus.com/sdi_catalog/salesItemDetails.do?id=103016</v>
      </c>
      <c r="B2508" s="5" t="s">
        <v>6666</v>
      </c>
      <c r="C2508" s="5" t="s">
        <v>6662</v>
      </c>
      <c r="D2508" s="5" t="s">
        <v>6667</v>
      </c>
      <c r="E2508" s="5" t="s">
        <v>6668</v>
      </c>
      <c r="F2508" s="5" t="s">
        <v>16</v>
      </c>
      <c r="G2508" s="5"/>
      <c r="H2508" s="5"/>
      <c r="I2508" s="5"/>
      <c r="J2508" s="5" t="s">
        <v>19</v>
      </c>
      <c r="K2508" s="5"/>
      <c r="L2508" s="7" t="s">
        <v>6669</v>
      </c>
    </row>
    <row r="2509" customFormat="false" ht="13.35" hidden="false" customHeight="true" outlineLevel="0" collapsed="false">
      <c r="A2509" s="5" t="str">
        <f aca="false">HYPERLINK("https://www.fabsurplus.com/sdi_catalog/salesItemDetails.do?id=103179")</f>
        <v>https://www.fabsurplus.com/sdi_catalog/salesItemDetails.do?id=103179</v>
      </c>
      <c r="B2509" s="5" t="s">
        <v>6670</v>
      </c>
      <c r="C2509" s="5" t="s">
        <v>6671</v>
      </c>
      <c r="D2509" s="5" t="s">
        <v>6672</v>
      </c>
      <c r="E2509" s="5" t="s">
        <v>1958</v>
      </c>
      <c r="F2509" s="5" t="s">
        <v>16</v>
      </c>
      <c r="G2509" s="5"/>
      <c r="H2509" s="5"/>
      <c r="I2509" s="5"/>
      <c r="J2509" s="5" t="s">
        <v>47</v>
      </c>
      <c r="K2509" s="5"/>
      <c r="L2509" s="7" t="s">
        <v>6673</v>
      </c>
    </row>
    <row r="2510" customFormat="false" ht="13.35" hidden="false" customHeight="true" outlineLevel="0" collapsed="false">
      <c r="A2510" s="5" t="str">
        <f aca="false">HYPERLINK("https://www.fabsurplus.com/sdi_catalog/salesItemDetails.do?id=99432")</f>
        <v>https://www.fabsurplus.com/sdi_catalog/salesItemDetails.do?id=99432</v>
      </c>
      <c r="B2510" s="5" t="s">
        <v>6674</v>
      </c>
      <c r="C2510" s="5" t="s">
        <v>6675</v>
      </c>
      <c r="D2510" s="5" t="s">
        <v>6676</v>
      </c>
      <c r="E2510" s="5" t="s">
        <v>6677</v>
      </c>
      <c r="F2510" s="5" t="s">
        <v>6678</v>
      </c>
      <c r="G2510" s="5" t="s">
        <v>88</v>
      </c>
      <c r="H2510" s="5"/>
      <c r="I2510" s="5"/>
      <c r="J2510" s="5" t="s">
        <v>19</v>
      </c>
      <c r="K2510" s="5"/>
      <c r="L2510" s="7" t="s">
        <v>6679</v>
      </c>
    </row>
    <row r="2511" customFormat="false" ht="13.35" hidden="false" customHeight="true" outlineLevel="0" collapsed="false">
      <c r="A2511" s="2" t="str">
        <f aca="false">HYPERLINK("https://www.fabsurplus.com/sdi_catalog/salesItemDetails.do?id=101686")</f>
        <v>https://www.fabsurplus.com/sdi_catalog/salesItemDetails.do?id=101686</v>
      </c>
      <c r="B2511" s="2" t="s">
        <v>6680</v>
      </c>
      <c r="C2511" s="2" t="s">
        <v>6681</v>
      </c>
      <c r="D2511" s="2" t="s">
        <v>6682</v>
      </c>
      <c r="E2511" s="2" t="s">
        <v>4796</v>
      </c>
      <c r="F2511" s="2" t="s">
        <v>16</v>
      </c>
      <c r="G2511" s="2" t="s">
        <v>4796</v>
      </c>
      <c r="H2511" s="2"/>
      <c r="I2511" s="2"/>
      <c r="J2511" s="2" t="s">
        <v>47</v>
      </c>
      <c r="K2511" s="2"/>
      <c r="L2511" s="2" t="s">
        <v>474</v>
      </c>
    </row>
    <row r="2512" customFormat="false" ht="13.35" hidden="false" customHeight="true" outlineLevel="0" collapsed="false">
      <c r="A2512" s="2" t="str">
        <f aca="false">HYPERLINK("https://www.fabsurplus.com/sdi_catalog/salesItemDetails.do?id=102576")</f>
        <v>https://www.fabsurplus.com/sdi_catalog/salesItemDetails.do?id=102576</v>
      </c>
      <c r="B2512" s="2" t="s">
        <v>6683</v>
      </c>
      <c r="C2512" s="2" t="s">
        <v>6684</v>
      </c>
      <c r="D2512" s="2" t="s">
        <v>6685</v>
      </c>
      <c r="E2512" s="2" t="s">
        <v>6686</v>
      </c>
      <c r="F2512" s="2" t="s">
        <v>16</v>
      </c>
      <c r="G2512" s="2"/>
      <c r="H2512" s="2"/>
      <c r="I2512" s="2"/>
      <c r="J2512" s="2" t="s">
        <v>47</v>
      </c>
      <c r="K2512" s="2"/>
      <c r="L2512" s="2"/>
    </row>
    <row r="2513" customFormat="false" ht="13.35" hidden="false" customHeight="true" outlineLevel="0" collapsed="false">
      <c r="A2513" s="5" t="str">
        <f aca="false">HYPERLINK("https://www.fabsurplus.com/sdi_catalog/salesItemDetails.do?id=101687")</f>
        <v>https://www.fabsurplus.com/sdi_catalog/salesItemDetails.do?id=101687</v>
      </c>
      <c r="B2513" s="5" t="s">
        <v>6687</v>
      </c>
      <c r="C2513" s="5" t="s">
        <v>6688</v>
      </c>
      <c r="D2513" s="5" t="s">
        <v>6689</v>
      </c>
      <c r="E2513" s="5" t="s">
        <v>4796</v>
      </c>
      <c r="F2513" s="5" t="s">
        <v>16</v>
      </c>
      <c r="G2513" s="5" t="s">
        <v>4796</v>
      </c>
      <c r="H2513" s="5"/>
      <c r="I2513" s="5"/>
      <c r="J2513" s="5" t="s">
        <v>47</v>
      </c>
      <c r="K2513" s="5"/>
      <c r="L2513" s="5" t="s">
        <v>474</v>
      </c>
    </row>
    <row r="2514" customFormat="false" ht="13.35" hidden="false" customHeight="true" outlineLevel="0" collapsed="false">
      <c r="A2514" s="2" t="str">
        <f aca="false">HYPERLINK("https://www.fabsurplus.com/sdi_catalog/salesItemDetails.do?id=102982")</f>
        <v>https://www.fabsurplus.com/sdi_catalog/salesItemDetails.do?id=102982</v>
      </c>
      <c r="B2514" s="2" t="s">
        <v>6690</v>
      </c>
      <c r="C2514" s="2" t="s">
        <v>6691</v>
      </c>
      <c r="D2514" s="2" t="s">
        <v>6692</v>
      </c>
      <c r="E2514" s="2" t="s">
        <v>6693</v>
      </c>
      <c r="F2514" s="2" t="s">
        <v>16</v>
      </c>
      <c r="G2514" s="2" t="s">
        <v>181</v>
      </c>
      <c r="H2514" s="2"/>
      <c r="I2514" s="2"/>
      <c r="J2514" s="2" t="s">
        <v>19</v>
      </c>
      <c r="K2514" s="2"/>
      <c r="L2514" s="2"/>
    </row>
    <row r="2515" customFormat="false" ht="13.35" hidden="false" customHeight="true" outlineLevel="0" collapsed="false">
      <c r="A2515" s="5" t="str">
        <f aca="false">HYPERLINK("https://www.fabsurplus.com/sdi_catalog/salesItemDetails.do?id=102983")</f>
        <v>https://www.fabsurplus.com/sdi_catalog/salesItemDetails.do?id=102983</v>
      </c>
      <c r="B2515" s="5" t="s">
        <v>6694</v>
      </c>
      <c r="C2515" s="5" t="s">
        <v>6691</v>
      </c>
      <c r="D2515" s="5" t="s">
        <v>6692</v>
      </c>
      <c r="E2515" s="5" t="s">
        <v>6693</v>
      </c>
      <c r="F2515" s="5" t="s">
        <v>16</v>
      </c>
      <c r="G2515" s="5" t="s">
        <v>181</v>
      </c>
      <c r="H2515" s="5"/>
      <c r="I2515" s="5"/>
      <c r="J2515" s="5" t="s">
        <v>19</v>
      </c>
      <c r="K2515" s="5"/>
      <c r="L2515" s="5"/>
    </row>
    <row r="2516" customFormat="false" ht="13.35" hidden="false" customHeight="true" outlineLevel="0" collapsed="false">
      <c r="A2516" s="5" t="str">
        <f aca="false">HYPERLINK("https://www.fabsurplus.com/sdi_catalog/salesItemDetails.do?id=33722")</f>
        <v>https://www.fabsurplus.com/sdi_catalog/salesItemDetails.do?id=33722</v>
      </c>
      <c r="B2516" s="5" t="s">
        <v>6695</v>
      </c>
      <c r="C2516" s="5" t="s">
        <v>6696</v>
      </c>
      <c r="D2516" s="5" t="s">
        <v>6697</v>
      </c>
      <c r="E2516" s="5" t="s">
        <v>6698</v>
      </c>
      <c r="F2516" s="5" t="s">
        <v>16</v>
      </c>
      <c r="G2516" s="5"/>
      <c r="H2516" s="5"/>
      <c r="I2516" s="5"/>
      <c r="J2516" s="5" t="s">
        <v>47</v>
      </c>
      <c r="K2516" s="5"/>
      <c r="L2516" s="7" t="s">
        <v>6699</v>
      </c>
    </row>
    <row r="2517" customFormat="false" ht="13.35" hidden="false" customHeight="true" outlineLevel="0" collapsed="false">
      <c r="A2517" s="2" t="str">
        <f aca="false">HYPERLINK("https://www.fabsurplus.com/sdi_catalog/salesItemDetails.do?id=10113")</f>
        <v>https://www.fabsurplus.com/sdi_catalog/salesItemDetails.do?id=10113</v>
      </c>
      <c r="B2517" s="2" t="s">
        <v>6700</v>
      </c>
      <c r="C2517" s="2" t="s">
        <v>6696</v>
      </c>
      <c r="D2517" s="2" t="s">
        <v>3918</v>
      </c>
      <c r="E2517" s="2" t="s">
        <v>6701</v>
      </c>
      <c r="F2517" s="2" t="s">
        <v>16</v>
      </c>
      <c r="G2517" s="2"/>
      <c r="H2517" s="2"/>
      <c r="I2517" s="2"/>
      <c r="J2517" s="2" t="s">
        <v>19</v>
      </c>
      <c r="K2517" s="2"/>
      <c r="L2517" s="2"/>
    </row>
    <row r="2518" customFormat="false" ht="13.35" hidden="false" customHeight="true" outlineLevel="0" collapsed="false">
      <c r="A2518" s="5" t="str">
        <f aca="false">HYPERLINK("https://www.fabsurplus.com/sdi_catalog/salesItemDetails.do?id=103045")</f>
        <v>https://www.fabsurplus.com/sdi_catalog/salesItemDetails.do?id=103045</v>
      </c>
      <c r="B2518" s="5" t="s">
        <v>6702</v>
      </c>
      <c r="C2518" s="5" t="s">
        <v>6703</v>
      </c>
      <c r="D2518" s="5" t="s">
        <v>6704</v>
      </c>
      <c r="E2518" s="5" t="s">
        <v>6705</v>
      </c>
      <c r="F2518" s="5" t="s">
        <v>16</v>
      </c>
      <c r="G2518" s="5" t="s">
        <v>2660</v>
      </c>
      <c r="H2518" s="5"/>
      <c r="I2518" s="5"/>
      <c r="J2518" s="5" t="s">
        <v>19</v>
      </c>
      <c r="K2518" s="5"/>
      <c r="L2518" s="7" t="s">
        <v>6706</v>
      </c>
    </row>
    <row r="2519" customFormat="false" ht="13.35" hidden="false" customHeight="true" outlineLevel="0" collapsed="false">
      <c r="A2519" s="2" t="str">
        <f aca="false">HYPERLINK("https://www.fabsurplus.com/sdi_catalog/salesItemDetails.do?id=103046")</f>
        <v>https://www.fabsurplus.com/sdi_catalog/salesItemDetails.do?id=103046</v>
      </c>
      <c r="B2519" s="2" t="s">
        <v>6707</v>
      </c>
      <c r="C2519" s="2" t="s">
        <v>6703</v>
      </c>
      <c r="D2519" s="2" t="s">
        <v>6704</v>
      </c>
      <c r="E2519" s="2" t="s">
        <v>6705</v>
      </c>
      <c r="F2519" s="2" t="s">
        <v>16</v>
      </c>
      <c r="G2519" s="2" t="s">
        <v>2660</v>
      </c>
      <c r="H2519" s="2"/>
      <c r="I2519" s="2"/>
      <c r="J2519" s="2" t="s">
        <v>19</v>
      </c>
      <c r="K2519" s="2"/>
      <c r="L2519" s="4" t="s">
        <v>6708</v>
      </c>
    </row>
    <row r="2520" customFormat="false" ht="13.35" hidden="false" customHeight="true" outlineLevel="0" collapsed="false">
      <c r="A2520" s="5" t="str">
        <f aca="false">HYPERLINK("https://www.fabsurplus.com/sdi_catalog/salesItemDetails.do?id=103047")</f>
        <v>https://www.fabsurplus.com/sdi_catalog/salesItemDetails.do?id=103047</v>
      </c>
      <c r="B2520" s="5" t="s">
        <v>6709</v>
      </c>
      <c r="C2520" s="5" t="s">
        <v>6703</v>
      </c>
      <c r="D2520" s="5" t="s">
        <v>6704</v>
      </c>
      <c r="E2520" s="5" t="s">
        <v>6705</v>
      </c>
      <c r="F2520" s="5" t="s">
        <v>16</v>
      </c>
      <c r="G2520" s="5" t="s">
        <v>2660</v>
      </c>
      <c r="H2520" s="5"/>
      <c r="I2520" s="5"/>
      <c r="J2520" s="5" t="s">
        <v>19</v>
      </c>
      <c r="K2520" s="5"/>
      <c r="L2520" s="7" t="s">
        <v>6708</v>
      </c>
    </row>
    <row r="2521" customFormat="false" ht="13.35" hidden="false" customHeight="true" outlineLevel="0" collapsed="false">
      <c r="A2521" s="2" t="str">
        <f aca="false">HYPERLINK("https://www.fabsurplus.com/sdi_catalog/salesItemDetails.do?id=103048")</f>
        <v>https://www.fabsurplus.com/sdi_catalog/salesItemDetails.do?id=103048</v>
      </c>
      <c r="B2521" s="2" t="s">
        <v>6710</v>
      </c>
      <c r="C2521" s="2" t="s">
        <v>6703</v>
      </c>
      <c r="D2521" s="2" t="s">
        <v>6704</v>
      </c>
      <c r="E2521" s="2" t="s">
        <v>6705</v>
      </c>
      <c r="F2521" s="2" t="s">
        <v>16</v>
      </c>
      <c r="G2521" s="2" t="s">
        <v>2660</v>
      </c>
      <c r="H2521" s="2"/>
      <c r="I2521" s="2"/>
      <c r="J2521" s="2" t="s">
        <v>19</v>
      </c>
      <c r="K2521" s="2"/>
      <c r="L2521" s="4" t="s">
        <v>6711</v>
      </c>
    </row>
    <row r="2522" customFormat="false" ht="13.35" hidden="false" customHeight="true" outlineLevel="0" collapsed="false">
      <c r="A2522" s="5" t="str">
        <f aca="false">HYPERLINK("https://www.fabsurplus.com/sdi_catalog/salesItemDetails.do?id=103049")</f>
        <v>https://www.fabsurplus.com/sdi_catalog/salesItemDetails.do?id=103049</v>
      </c>
      <c r="B2522" s="5" t="s">
        <v>6712</v>
      </c>
      <c r="C2522" s="5" t="s">
        <v>6703</v>
      </c>
      <c r="D2522" s="5" t="s">
        <v>6713</v>
      </c>
      <c r="E2522" s="5" t="s">
        <v>6714</v>
      </c>
      <c r="F2522" s="5" t="s">
        <v>16</v>
      </c>
      <c r="G2522" s="5" t="s">
        <v>2660</v>
      </c>
      <c r="H2522" s="5"/>
      <c r="I2522" s="5"/>
      <c r="J2522" s="5" t="s">
        <v>19</v>
      </c>
      <c r="K2522" s="5"/>
      <c r="L2522" s="7" t="s">
        <v>6715</v>
      </c>
    </row>
    <row r="2523" customFormat="false" ht="13.35" hidden="false" customHeight="true" outlineLevel="0" collapsed="false">
      <c r="A2523" s="2" t="str">
        <f aca="false">HYPERLINK("https://www.fabsurplus.com/sdi_catalog/salesItemDetails.do?id=103017")</f>
        <v>https://www.fabsurplus.com/sdi_catalog/salesItemDetails.do?id=103017</v>
      </c>
      <c r="B2523" s="2" t="s">
        <v>6716</v>
      </c>
      <c r="C2523" s="2" t="s">
        <v>6717</v>
      </c>
      <c r="D2523" s="2" t="s">
        <v>6718</v>
      </c>
      <c r="E2523" s="2" t="s">
        <v>6719</v>
      </c>
      <c r="F2523" s="2" t="s">
        <v>16</v>
      </c>
      <c r="G2523" s="2"/>
      <c r="H2523" s="2"/>
      <c r="I2523" s="2"/>
      <c r="J2523" s="2" t="s">
        <v>19</v>
      </c>
      <c r="K2523" s="2"/>
      <c r="L2523" s="4" t="s">
        <v>6720</v>
      </c>
    </row>
    <row r="2524" customFormat="false" ht="13.35" hidden="false" customHeight="true" outlineLevel="0" collapsed="false">
      <c r="A2524" s="5" t="str">
        <f aca="false">HYPERLINK("https://www.fabsurplus.com/sdi_catalog/salesItemDetails.do?id=102445")</f>
        <v>https://www.fabsurplus.com/sdi_catalog/salesItemDetails.do?id=102445</v>
      </c>
      <c r="B2524" s="5" t="s">
        <v>6721</v>
      </c>
      <c r="C2524" s="5" t="s">
        <v>6722</v>
      </c>
      <c r="D2524" s="5" t="s">
        <v>6723</v>
      </c>
      <c r="E2524" s="5" t="s">
        <v>6724</v>
      </c>
      <c r="F2524" s="5" t="s">
        <v>16</v>
      </c>
      <c r="G2524" s="5" t="s">
        <v>181</v>
      </c>
      <c r="H2524" s="5"/>
      <c r="I2524" s="6" t="n">
        <v>38139</v>
      </c>
      <c r="J2524" s="5" t="s">
        <v>19</v>
      </c>
      <c r="K2524" s="5"/>
      <c r="L2524" s="5"/>
    </row>
    <row r="2525" customFormat="false" ht="13.35" hidden="false" customHeight="true" outlineLevel="0" collapsed="false">
      <c r="A2525" s="2" t="str">
        <f aca="false">HYPERLINK("https://www.fabsurplus.com/sdi_catalog/salesItemDetails.do?id=102440")</f>
        <v>https://www.fabsurplus.com/sdi_catalog/salesItemDetails.do?id=102440</v>
      </c>
      <c r="B2525" s="2" t="s">
        <v>6725</v>
      </c>
      <c r="C2525" s="2" t="s">
        <v>6722</v>
      </c>
      <c r="D2525" s="2" t="s">
        <v>6723</v>
      </c>
      <c r="E2525" s="2" t="s">
        <v>169</v>
      </c>
      <c r="F2525" s="2" t="s">
        <v>16</v>
      </c>
      <c r="G2525" s="2" t="s">
        <v>181</v>
      </c>
      <c r="H2525" s="2"/>
      <c r="I2525" s="3" t="n">
        <v>36678</v>
      </c>
      <c r="J2525" s="2" t="s">
        <v>19</v>
      </c>
      <c r="K2525" s="2"/>
      <c r="L2525" s="2"/>
    </row>
    <row r="2526" customFormat="false" ht="13.35" hidden="false" customHeight="true" outlineLevel="0" collapsed="false">
      <c r="A2526" s="2" t="str">
        <f aca="false">HYPERLINK("https://www.fabsurplus.com/sdi_catalog/salesItemDetails.do?id=102441")</f>
        <v>https://www.fabsurplus.com/sdi_catalog/salesItemDetails.do?id=102441</v>
      </c>
      <c r="B2526" s="2" t="s">
        <v>6726</v>
      </c>
      <c r="C2526" s="2" t="s">
        <v>6722</v>
      </c>
      <c r="D2526" s="2" t="s">
        <v>6723</v>
      </c>
      <c r="E2526" s="2" t="s">
        <v>169</v>
      </c>
      <c r="F2526" s="2" t="s">
        <v>16</v>
      </c>
      <c r="G2526" s="2" t="s">
        <v>181</v>
      </c>
      <c r="H2526" s="2"/>
      <c r="I2526" s="3" t="n">
        <v>36678</v>
      </c>
      <c r="J2526" s="2" t="s">
        <v>19</v>
      </c>
      <c r="K2526" s="2"/>
      <c r="L2526" s="2"/>
    </row>
    <row r="2527" customFormat="false" ht="13.35" hidden="false" customHeight="true" outlineLevel="0" collapsed="false">
      <c r="A2527" s="5" t="str">
        <f aca="false">HYPERLINK("https://www.fabsurplus.com/sdi_catalog/salesItemDetails.do?id=102442")</f>
        <v>https://www.fabsurplus.com/sdi_catalog/salesItemDetails.do?id=102442</v>
      </c>
      <c r="B2527" s="5" t="s">
        <v>6727</v>
      </c>
      <c r="C2527" s="5" t="s">
        <v>6722</v>
      </c>
      <c r="D2527" s="5" t="s">
        <v>6723</v>
      </c>
      <c r="E2527" s="5" t="s">
        <v>169</v>
      </c>
      <c r="F2527" s="5" t="s">
        <v>16</v>
      </c>
      <c r="G2527" s="5" t="s">
        <v>181</v>
      </c>
      <c r="H2527" s="5"/>
      <c r="I2527" s="6" t="n">
        <v>36678</v>
      </c>
      <c r="J2527" s="5" t="s">
        <v>19</v>
      </c>
      <c r="K2527" s="5"/>
      <c r="L2527" s="5"/>
    </row>
    <row r="2528" customFormat="false" ht="13.35" hidden="false" customHeight="true" outlineLevel="0" collapsed="false">
      <c r="A2528" s="2" t="str">
        <f aca="false">HYPERLINK("https://www.fabsurplus.com/sdi_catalog/salesItemDetails.do?id=102443")</f>
        <v>https://www.fabsurplus.com/sdi_catalog/salesItemDetails.do?id=102443</v>
      </c>
      <c r="B2528" s="2" t="s">
        <v>6728</v>
      </c>
      <c r="C2528" s="2" t="s">
        <v>6722</v>
      </c>
      <c r="D2528" s="2" t="s">
        <v>6723</v>
      </c>
      <c r="E2528" s="2" t="s">
        <v>169</v>
      </c>
      <c r="F2528" s="2" t="s">
        <v>16</v>
      </c>
      <c r="G2528" s="2" t="s">
        <v>181</v>
      </c>
      <c r="H2528" s="2"/>
      <c r="I2528" s="3" t="n">
        <v>36678</v>
      </c>
      <c r="J2528" s="2" t="s">
        <v>19</v>
      </c>
      <c r="K2528" s="2"/>
      <c r="L2528" s="2"/>
    </row>
    <row r="2529" customFormat="false" ht="13.35" hidden="false" customHeight="true" outlineLevel="0" collapsed="false">
      <c r="A2529" s="5" t="str">
        <f aca="false">HYPERLINK("https://www.fabsurplus.com/sdi_catalog/salesItemDetails.do?id=102444")</f>
        <v>https://www.fabsurplus.com/sdi_catalog/salesItemDetails.do?id=102444</v>
      </c>
      <c r="B2529" s="5" t="s">
        <v>6729</v>
      </c>
      <c r="C2529" s="5" t="s">
        <v>6722</v>
      </c>
      <c r="D2529" s="5" t="s">
        <v>6723</v>
      </c>
      <c r="E2529" s="5" t="s">
        <v>169</v>
      </c>
      <c r="F2529" s="5" t="s">
        <v>16</v>
      </c>
      <c r="G2529" s="5" t="s">
        <v>181</v>
      </c>
      <c r="H2529" s="5"/>
      <c r="I2529" s="6" t="n">
        <v>36678</v>
      </c>
      <c r="J2529" s="5" t="s">
        <v>19</v>
      </c>
      <c r="K2529" s="5"/>
      <c r="L2529" s="5"/>
    </row>
    <row r="2530" customFormat="false" ht="13.35" hidden="false" customHeight="true" outlineLevel="0" collapsed="false">
      <c r="A2530" s="2" t="str">
        <f aca="false">HYPERLINK("https://www.fabsurplus.com/sdi_catalog/salesItemDetails.do?id=102446")</f>
        <v>https://www.fabsurplus.com/sdi_catalog/salesItemDetails.do?id=102446</v>
      </c>
      <c r="B2530" s="2" t="s">
        <v>6730</v>
      </c>
      <c r="C2530" s="2" t="s">
        <v>6722</v>
      </c>
      <c r="D2530" s="2" t="s">
        <v>6731</v>
      </c>
      <c r="E2530" s="2" t="s">
        <v>169</v>
      </c>
      <c r="F2530" s="2" t="s">
        <v>16</v>
      </c>
      <c r="G2530" s="2" t="s">
        <v>181</v>
      </c>
      <c r="H2530" s="2"/>
      <c r="I2530" s="3" t="n">
        <v>37408</v>
      </c>
      <c r="J2530" s="2" t="s">
        <v>19</v>
      </c>
      <c r="K2530" s="2"/>
      <c r="L2530" s="2"/>
    </row>
    <row r="2531" customFormat="false" ht="13.35" hidden="false" customHeight="true" outlineLevel="0" collapsed="false">
      <c r="A2531" s="5" t="str">
        <f aca="false">HYPERLINK("https://www.fabsurplus.com/sdi_catalog/salesItemDetails.do?id=102447")</f>
        <v>https://www.fabsurplus.com/sdi_catalog/salesItemDetails.do?id=102447</v>
      </c>
      <c r="B2531" s="5" t="s">
        <v>6732</v>
      </c>
      <c r="C2531" s="5" t="s">
        <v>6722</v>
      </c>
      <c r="D2531" s="5" t="s">
        <v>6733</v>
      </c>
      <c r="E2531" s="5" t="s">
        <v>169</v>
      </c>
      <c r="F2531" s="5" t="s">
        <v>16</v>
      </c>
      <c r="G2531" s="5" t="s">
        <v>181</v>
      </c>
      <c r="H2531" s="5"/>
      <c r="I2531" s="6" t="n">
        <v>37043</v>
      </c>
      <c r="J2531" s="5" t="s">
        <v>19</v>
      </c>
      <c r="K2531" s="5"/>
      <c r="L2531" s="5"/>
    </row>
    <row r="2532" customFormat="false" ht="13.35" hidden="false" customHeight="true" outlineLevel="0" collapsed="false">
      <c r="A2532" s="2" t="str">
        <f aca="false">HYPERLINK("https://www.fabsurplus.com/sdi_catalog/salesItemDetails.do?id=102448")</f>
        <v>https://www.fabsurplus.com/sdi_catalog/salesItemDetails.do?id=102448</v>
      </c>
      <c r="B2532" s="2" t="s">
        <v>6734</v>
      </c>
      <c r="C2532" s="2" t="s">
        <v>6722</v>
      </c>
      <c r="D2532" s="2" t="s">
        <v>6733</v>
      </c>
      <c r="E2532" s="2" t="s">
        <v>169</v>
      </c>
      <c r="F2532" s="2" t="s">
        <v>16</v>
      </c>
      <c r="G2532" s="2" t="s">
        <v>181</v>
      </c>
      <c r="H2532" s="2"/>
      <c r="I2532" s="3" t="n">
        <v>37043</v>
      </c>
      <c r="J2532" s="2" t="s">
        <v>19</v>
      </c>
      <c r="K2532" s="2"/>
      <c r="L2532" s="2"/>
    </row>
    <row r="2533" customFormat="false" ht="13.35" hidden="false" customHeight="true" outlineLevel="0" collapsed="false">
      <c r="A2533" s="5" t="str">
        <f aca="false">HYPERLINK("https://www.fabsurplus.com/sdi_catalog/salesItemDetails.do?id=102449")</f>
        <v>https://www.fabsurplus.com/sdi_catalog/salesItemDetails.do?id=102449</v>
      </c>
      <c r="B2533" s="5" t="s">
        <v>6735</v>
      </c>
      <c r="C2533" s="5" t="s">
        <v>6722</v>
      </c>
      <c r="D2533" s="5" t="s">
        <v>6736</v>
      </c>
      <c r="E2533" s="5" t="s">
        <v>169</v>
      </c>
      <c r="F2533" s="5" t="s">
        <v>16</v>
      </c>
      <c r="G2533" s="5" t="s">
        <v>181</v>
      </c>
      <c r="H2533" s="5"/>
      <c r="I2533" s="5"/>
      <c r="J2533" s="5" t="s">
        <v>19</v>
      </c>
      <c r="K2533" s="5"/>
      <c r="L2533" s="5"/>
    </row>
    <row r="2534" customFormat="false" ht="13.35" hidden="false" customHeight="true" outlineLevel="0" collapsed="false">
      <c r="A2534" s="5" t="str">
        <f aca="false">HYPERLINK("https://www.fabsurplus.com/sdi_catalog/salesItemDetails.do?id=102531")</f>
        <v>https://www.fabsurplus.com/sdi_catalog/salesItemDetails.do?id=102531</v>
      </c>
      <c r="B2534" s="5" t="s">
        <v>6737</v>
      </c>
      <c r="C2534" s="5" t="s">
        <v>6738</v>
      </c>
      <c r="D2534" s="5" t="s">
        <v>6739</v>
      </c>
      <c r="E2534" s="5" t="s">
        <v>6740</v>
      </c>
      <c r="F2534" s="5" t="s">
        <v>16</v>
      </c>
      <c r="G2534" s="5" t="s">
        <v>154</v>
      </c>
      <c r="H2534" s="5"/>
      <c r="I2534" s="5"/>
      <c r="J2534" s="5" t="s">
        <v>47</v>
      </c>
      <c r="K2534" s="5"/>
      <c r="L2534" s="5"/>
    </row>
    <row r="2535" customFormat="false" ht="13.35" hidden="false" customHeight="true" outlineLevel="0" collapsed="false">
      <c r="A2535" s="2" t="str">
        <f aca="false">HYPERLINK("https://www.fabsurplus.com/sdi_catalog/salesItemDetails.do?id=102532")</f>
        <v>https://www.fabsurplus.com/sdi_catalog/salesItemDetails.do?id=102532</v>
      </c>
      <c r="B2535" s="2" t="s">
        <v>6741</v>
      </c>
      <c r="C2535" s="2" t="s">
        <v>6738</v>
      </c>
      <c r="D2535" s="2" t="s">
        <v>6739</v>
      </c>
      <c r="E2535" s="2" t="s">
        <v>6742</v>
      </c>
      <c r="F2535" s="2" t="s">
        <v>366</v>
      </c>
      <c r="G2535" s="2" t="s">
        <v>154</v>
      </c>
      <c r="H2535" s="2"/>
      <c r="I2535" s="2"/>
      <c r="J2535" s="2" t="s">
        <v>47</v>
      </c>
      <c r="K2535" s="2"/>
      <c r="L2535" s="2"/>
    </row>
    <row r="2536" customFormat="false" ht="13.35" hidden="false" customHeight="true" outlineLevel="0" collapsed="false">
      <c r="A2536" s="5" t="str">
        <f aca="false">HYPERLINK("https://www.fabsurplus.com/sdi_catalog/salesItemDetails.do?id=102533")</f>
        <v>https://www.fabsurplus.com/sdi_catalog/salesItemDetails.do?id=102533</v>
      </c>
      <c r="B2536" s="5" t="s">
        <v>6743</v>
      </c>
      <c r="C2536" s="5" t="s">
        <v>6738</v>
      </c>
      <c r="D2536" s="5" t="s">
        <v>6739</v>
      </c>
      <c r="E2536" s="5" t="s">
        <v>6744</v>
      </c>
      <c r="F2536" s="5" t="s">
        <v>16</v>
      </c>
      <c r="G2536" s="5" t="s">
        <v>154</v>
      </c>
      <c r="H2536" s="5"/>
      <c r="I2536" s="5"/>
      <c r="J2536" s="5" t="s">
        <v>47</v>
      </c>
      <c r="K2536" s="5"/>
      <c r="L2536" s="5"/>
    </row>
    <row r="2537" customFormat="false" ht="13.35" hidden="false" customHeight="true" outlineLevel="0" collapsed="false">
      <c r="A2537" s="2" t="str">
        <f aca="false">HYPERLINK("https://www.fabsurplus.com/sdi_catalog/salesItemDetails.do?id=102534")</f>
        <v>https://www.fabsurplus.com/sdi_catalog/salesItemDetails.do?id=102534</v>
      </c>
      <c r="B2537" s="2" t="s">
        <v>6745</v>
      </c>
      <c r="C2537" s="2" t="s">
        <v>6738</v>
      </c>
      <c r="D2537" s="2" t="s">
        <v>6739</v>
      </c>
      <c r="E2537" s="2" t="s">
        <v>6746</v>
      </c>
      <c r="F2537" s="2" t="s">
        <v>366</v>
      </c>
      <c r="G2537" s="2" t="s">
        <v>154</v>
      </c>
      <c r="H2537" s="2"/>
      <c r="I2537" s="2"/>
      <c r="J2537" s="2" t="s">
        <v>47</v>
      </c>
      <c r="K2537" s="2"/>
      <c r="L2537" s="2"/>
    </row>
    <row r="2538" customFormat="false" ht="13.35" hidden="false" customHeight="true" outlineLevel="0" collapsed="false">
      <c r="A2538" s="5" t="str">
        <f aca="false">HYPERLINK("https://www.fabsurplus.com/sdi_catalog/salesItemDetails.do?id=102535")</f>
        <v>https://www.fabsurplus.com/sdi_catalog/salesItemDetails.do?id=102535</v>
      </c>
      <c r="B2538" s="5" t="s">
        <v>6747</v>
      </c>
      <c r="C2538" s="5" t="s">
        <v>6738</v>
      </c>
      <c r="D2538" s="5" t="s">
        <v>6739</v>
      </c>
      <c r="E2538" s="5" t="s">
        <v>6748</v>
      </c>
      <c r="F2538" s="5" t="s">
        <v>366</v>
      </c>
      <c r="G2538" s="5" t="s">
        <v>154</v>
      </c>
      <c r="H2538" s="5"/>
      <c r="I2538" s="5"/>
      <c r="J2538" s="5" t="s">
        <v>47</v>
      </c>
      <c r="K2538" s="5"/>
      <c r="L2538" s="5"/>
    </row>
    <row r="2539" customFormat="false" ht="13.35" hidden="false" customHeight="true" outlineLevel="0" collapsed="false">
      <c r="A2539" s="2" t="str">
        <f aca="false">HYPERLINK("https://www.fabsurplus.com/sdi_catalog/salesItemDetails.do?id=102536")</f>
        <v>https://www.fabsurplus.com/sdi_catalog/salesItemDetails.do?id=102536</v>
      </c>
      <c r="B2539" s="2" t="s">
        <v>6749</v>
      </c>
      <c r="C2539" s="2" t="s">
        <v>6738</v>
      </c>
      <c r="D2539" s="2" t="s">
        <v>6739</v>
      </c>
      <c r="E2539" s="2" t="s">
        <v>6750</v>
      </c>
      <c r="F2539" s="2" t="s">
        <v>16</v>
      </c>
      <c r="G2539" s="2" t="s">
        <v>154</v>
      </c>
      <c r="H2539" s="2"/>
      <c r="I2539" s="2"/>
      <c r="J2539" s="2" t="s">
        <v>47</v>
      </c>
      <c r="K2539" s="2"/>
      <c r="L2539" s="2"/>
    </row>
    <row r="2540" customFormat="false" ht="13.35" hidden="false" customHeight="true" outlineLevel="0" collapsed="false">
      <c r="A2540" s="5" t="str">
        <f aca="false">HYPERLINK("https://www.fabsurplus.com/sdi_catalog/salesItemDetails.do?id=102537")</f>
        <v>https://www.fabsurplus.com/sdi_catalog/salesItemDetails.do?id=102537</v>
      </c>
      <c r="B2540" s="5" t="s">
        <v>6751</v>
      </c>
      <c r="C2540" s="5" t="s">
        <v>6738</v>
      </c>
      <c r="D2540" s="5" t="s">
        <v>6739</v>
      </c>
      <c r="E2540" s="5" t="s">
        <v>6752</v>
      </c>
      <c r="F2540" s="5" t="s">
        <v>366</v>
      </c>
      <c r="G2540" s="5" t="s">
        <v>154</v>
      </c>
      <c r="H2540" s="5"/>
      <c r="I2540" s="5"/>
      <c r="J2540" s="5" t="s">
        <v>47</v>
      </c>
      <c r="K2540" s="5"/>
      <c r="L2540" s="5"/>
    </row>
    <row r="2541" customFormat="false" ht="13.35" hidden="false" customHeight="true" outlineLevel="0" collapsed="false">
      <c r="A2541" s="2" t="str">
        <f aca="false">HYPERLINK("https://www.fabsurplus.com/sdi_catalog/salesItemDetails.do?id=102530")</f>
        <v>https://www.fabsurplus.com/sdi_catalog/salesItemDetails.do?id=102530</v>
      </c>
      <c r="B2541" s="2" t="s">
        <v>6753</v>
      </c>
      <c r="C2541" s="2" t="s">
        <v>6738</v>
      </c>
      <c r="D2541" s="2" t="s">
        <v>6739</v>
      </c>
      <c r="E2541" s="2" t="s">
        <v>239</v>
      </c>
      <c r="F2541" s="2" t="s">
        <v>16</v>
      </c>
      <c r="G2541" s="2" t="s">
        <v>181</v>
      </c>
      <c r="H2541" s="2"/>
      <c r="I2541" s="2"/>
      <c r="J2541" s="2" t="s">
        <v>47</v>
      </c>
      <c r="K2541" s="2"/>
      <c r="L2541" s="2"/>
    </row>
    <row r="2542" customFormat="false" ht="13.35" hidden="false" customHeight="true" outlineLevel="0" collapsed="false">
      <c r="A2542" s="2" t="str">
        <f aca="false">HYPERLINK("https://www.fabsurplus.com/sdi_catalog/salesItemDetails.do?id=102538")</f>
        <v>https://www.fabsurplus.com/sdi_catalog/salesItemDetails.do?id=102538</v>
      </c>
      <c r="B2542" s="2" t="s">
        <v>6754</v>
      </c>
      <c r="C2542" s="2" t="s">
        <v>6738</v>
      </c>
      <c r="D2542" s="2" t="s">
        <v>6755</v>
      </c>
      <c r="E2542" s="2" t="s">
        <v>180</v>
      </c>
      <c r="F2542" s="2" t="s">
        <v>16</v>
      </c>
      <c r="G2542" s="2" t="s">
        <v>181</v>
      </c>
      <c r="H2542" s="2"/>
      <c r="I2542" s="2"/>
      <c r="J2542" s="2" t="s">
        <v>47</v>
      </c>
      <c r="K2542" s="2"/>
      <c r="L2542" s="2"/>
    </row>
    <row r="2543" customFormat="false" ht="13.35" hidden="false" customHeight="true" outlineLevel="0" collapsed="false">
      <c r="A2543" s="5" t="str">
        <f aca="false">HYPERLINK("https://www.fabsurplus.com/sdi_catalog/salesItemDetails.do?id=102539")</f>
        <v>https://www.fabsurplus.com/sdi_catalog/salesItemDetails.do?id=102539</v>
      </c>
      <c r="B2543" s="5" t="s">
        <v>6756</v>
      </c>
      <c r="C2543" s="5" t="s">
        <v>6738</v>
      </c>
      <c r="D2543" s="5" t="s">
        <v>6757</v>
      </c>
      <c r="E2543" s="5" t="s">
        <v>6758</v>
      </c>
      <c r="F2543" s="5" t="s">
        <v>58</v>
      </c>
      <c r="G2543" s="5" t="s">
        <v>154</v>
      </c>
      <c r="H2543" s="5"/>
      <c r="I2543" s="5"/>
      <c r="J2543" s="5" t="s">
        <v>47</v>
      </c>
      <c r="K2543" s="5"/>
      <c r="L2543" s="5"/>
    </row>
    <row r="2544" customFormat="false" ht="13.35" hidden="false" customHeight="true" outlineLevel="0" collapsed="false">
      <c r="A2544" s="2" t="str">
        <f aca="false">HYPERLINK("https://www.fabsurplus.com/sdi_catalog/salesItemDetails.do?id=102451")</f>
        <v>https://www.fabsurplus.com/sdi_catalog/salesItemDetails.do?id=102451</v>
      </c>
      <c r="B2544" s="2" t="s">
        <v>6759</v>
      </c>
      <c r="C2544" s="2" t="s">
        <v>6722</v>
      </c>
      <c r="D2544" s="2" t="s">
        <v>6760</v>
      </c>
      <c r="E2544" s="2" t="s">
        <v>169</v>
      </c>
      <c r="F2544" s="2" t="s">
        <v>16</v>
      </c>
      <c r="G2544" s="2" t="s">
        <v>181</v>
      </c>
      <c r="H2544" s="2"/>
      <c r="I2544" s="3" t="n">
        <v>38139</v>
      </c>
      <c r="J2544" s="2" t="s">
        <v>19</v>
      </c>
      <c r="K2544" s="2"/>
      <c r="L2544" s="2"/>
    </row>
    <row r="2545" customFormat="false" ht="13.35" hidden="false" customHeight="true" outlineLevel="0" collapsed="false">
      <c r="A2545" s="5" t="str">
        <f aca="false">HYPERLINK("https://www.fabsurplus.com/sdi_catalog/salesItemDetails.do?id=102452")</f>
        <v>https://www.fabsurplus.com/sdi_catalog/salesItemDetails.do?id=102452</v>
      </c>
      <c r="B2545" s="5" t="s">
        <v>6761</v>
      </c>
      <c r="C2545" s="5" t="s">
        <v>6722</v>
      </c>
      <c r="D2545" s="5" t="s">
        <v>6762</v>
      </c>
      <c r="E2545" s="5" t="s">
        <v>6763</v>
      </c>
      <c r="F2545" s="5" t="s">
        <v>16</v>
      </c>
      <c r="G2545" s="5" t="s">
        <v>181</v>
      </c>
      <c r="H2545" s="5"/>
      <c r="I2545" s="5"/>
      <c r="J2545" s="5" t="s">
        <v>19</v>
      </c>
      <c r="K2545" s="5"/>
      <c r="L2545" s="5"/>
    </row>
    <row r="2546" customFormat="false" ht="13.35" hidden="false" customHeight="true" outlineLevel="0" collapsed="false">
      <c r="A2546" s="2" t="str">
        <f aca="false">HYPERLINK("https://www.fabsurplus.com/sdi_catalog/salesItemDetails.do?id=102797")</f>
        <v>https://www.fabsurplus.com/sdi_catalog/salesItemDetails.do?id=102797</v>
      </c>
      <c r="B2546" s="2" t="s">
        <v>6764</v>
      </c>
      <c r="C2546" s="2" t="s">
        <v>6722</v>
      </c>
      <c r="D2546" s="2" t="s">
        <v>6765</v>
      </c>
      <c r="E2546" s="2" t="s">
        <v>257</v>
      </c>
      <c r="F2546" s="2" t="s">
        <v>16</v>
      </c>
      <c r="G2546" s="2" t="s">
        <v>240</v>
      </c>
      <c r="H2546" s="2"/>
      <c r="I2546" s="3" t="n">
        <v>41791</v>
      </c>
      <c r="J2546" s="2" t="s">
        <v>19</v>
      </c>
      <c r="K2546" s="2"/>
      <c r="L2546" s="4" t="s">
        <v>6766</v>
      </c>
    </row>
    <row r="2547" customFormat="false" ht="13.35" hidden="false" customHeight="true" outlineLevel="0" collapsed="false">
      <c r="A2547" s="2" t="str">
        <f aca="false">HYPERLINK("https://www.fabsurplus.com/sdi_catalog/salesItemDetails.do?id=102540")</f>
        <v>https://www.fabsurplus.com/sdi_catalog/salesItemDetails.do?id=102540</v>
      </c>
      <c r="B2547" s="2" t="s">
        <v>6767</v>
      </c>
      <c r="C2547" s="2" t="s">
        <v>6738</v>
      </c>
      <c r="D2547" s="2" t="s">
        <v>6768</v>
      </c>
      <c r="E2547" s="2" t="s">
        <v>180</v>
      </c>
      <c r="F2547" s="2" t="s">
        <v>366</v>
      </c>
      <c r="G2547" s="2" t="s">
        <v>181</v>
      </c>
      <c r="H2547" s="2"/>
      <c r="I2547" s="2"/>
      <c r="J2547" s="2" t="s">
        <v>47</v>
      </c>
      <c r="K2547" s="2"/>
      <c r="L2547" s="2"/>
    </row>
    <row r="2548" customFormat="false" ht="13.35" hidden="false" customHeight="true" outlineLevel="0" collapsed="false">
      <c r="A2548" s="5" t="str">
        <f aca="false">HYPERLINK("https://www.fabsurplus.com/sdi_catalog/salesItemDetails.do?id=102541")</f>
        <v>https://www.fabsurplus.com/sdi_catalog/salesItemDetails.do?id=102541</v>
      </c>
      <c r="B2548" s="5" t="s">
        <v>6769</v>
      </c>
      <c r="C2548" s="5" t="s">
        <v>6738</v>
      </c>
      <c r="D2548" s="5" t="s">
        <v>6770</v>
      </c>
      <c r="E2548" s="5" t="s">
        <v>180</v>
      </c>
      <c r="F2548" s="5" t="s">
        <v>16</v>
      </c>
      <c r="G2548" s="5" t="s">
        <v>181</v>
      </c>
      <c r="H2548" s="5"/>
      <c r="I2548" s="5"/>
      <c r="J2548" s="5" t="s">
        <v>47</v>
      </c>
      <c r="K2548" s="5"/>
      <c r="L2548" s="5"/>
    </row>
    <row r="2549" customFormat="false" ht="13.35" hidden="false" customHeight="true" outlineLevel="0" collapsed="false">
      <c r="A2549" s="5" t="str">
        <f aca="false">HYPERLINK("https://www.fabsurplus.com/sdi_catalog/salesItemDetails.do?id=102542")</f>
        <v>https://www.fabsurplus.com/sdi_catalog/salesItemDetails.do?id=102542</v>
      </c>
      <c r="B2549" s="5" t="s">
        <v>6771</v>
      </c>
      <c r="C2549" s="5" t="s">
        <v>6738</v>
      </c>
      <c r="D2549" s="5" t="s">
        <v>6772</v>
      </c>
      <c r="E2549" s="5" t="s">
        <v>180</v>
      </c>
      <c r="F2549" s="5" t="s">
        <v>16</v>
      </c>
      <c r="G2549" s="5" t="s">
        <v>181</v>
      </c>
      <c r="H2549" s="5"/>
      <c r="I2549" s="6" t="n">
        <v>38869</v>
      </c>
      <c r="J2549" s="5" t="s">
        <v>47</v>
      </c>
      <c r="K2549" s="5"/>
      <c r="L2549" s="5"/>
    </row>
    <row r="2550" customFormat="false" ht="13.35" hidden="false" customHeight="true" outlineLevel="0" collapsed="false">
      <c r="A2550" s="2" t="str">
        <f aca="false">HYPERLINK("https://www.fabsurplus.com/sdi_catalog/salesItemDetails.do?id=102543")</f>
        <v>https://www.fabsurplus.com/sdi_catalog/salesItemDetails.do?id=102543</v>
      </c>
      <c r="B2550" s="2" t="s">
        <v>6773</v>
      </c>
      <c r="C2550" s="2" t="s">
        <v>6738</v>
      </c>
      <c r="D2550" s="2" t="s">
        <v>6774</v>
      </c>
      <c r="E2550" s="2" t="s">
        <v>6775</v>
      </c>
      <c r="F2550" s="2" t="s">
        <v>366</v>
      </c>
      <c r="G2550" s="2" t="s">
        <v>154</v>
      </c>
      <c r="H2550" s="2"/>
      <c r="I2550" s="2"/>
      <c r="J2550" s="2" t="s">
        <v>47</v>
      </c>
      <c r="K2550" s="2"/>
      <c r="L2550" s="2"/>
    </row>
    <row r="2551" customFormat="false" ht="13.35" hidden="false" customHeight="true" outlineLevel="0" collapsed="false">
      <c r="A2551" s="5" t="str">
        <f aca="false">HYPERLINK("https://www.fabsurplus.com/sdi_catalog/salesItemDetails.do?id=102544")</f>
        <v>https://www.fabsurplus.com/sdi_catalog/salesItemDetails.do?id=102544</v>
      </c>
      <c r="B2551" s="5" t="s">
        <v>6776</v>
      </c>
      <c r="C2551" s="5" t="s">
        <v>6738</v>
      </c>
      <c r="D2551" s="5" t="s">
        <v>6774</v>
      </c>
      <c r="E2551" s="5" t="s">
        <v>6777</v>
      </c>
      <c r="F2551" s="5" t="s">
        <v>366</v>
      </c>
      <c r="G2551" s="5" t="s">
        <v>154</v>
      </c>
      <c r="H2551" s="5"/>
      <c r="I2551" s="5"/>
      <c r="J2551" s="5" t="s">
        <v>47</v>
      </c>
      <c r="K2551" s="5"/>
      <c r="L2551" s="5"/>
    </row>
    <row r="2552" customFormat="false" ht="13.35" hidden="false" customHeight="true" outlineLevel="0" collapsed="false">
      <c r="A2552" s="2" t="str">
        <f aca="false">HYPERLINK("https://www.fabsurplus.com/sdi_catalog/salesItemDetails.do?id=102545")</f>
        <v>https://www.fabsurplus.com/sdi_catalog/salesItemDetails.do?id=102545</v>
      </c>
      <c r="B2552" s="2" t="s">
        <v>6778</v>
      </c>
      <c r="C2552" s="2" t="s">
        <v>6738</v>
      </c>
      <c r="D2552" s="2" t="s">
        <v>6774</v>
      </c>
      <c r="E2552" s="2" t="s">
        <v>6779</v>
      </c>
      <c r="F2552" s="2" t="s">
        <v>366</v>
      </c>
      <c r="G2552" s="2" t="s">
        <v>154</v>
      </c>
      <c r="H2552" s="2"/>
      <c r="I2552" s="2"/>
      <c r="J2552" s="2" t="s">
        <v>47</v>
      </c>
      <c r="K2552" s="2"/>
      <c r="L2552" s="2"/>
    </row>
    <row r="2553" customFormat="false" ht="13.35" hidden="false" customHeight="true" outlineLevel="0" collapsed="false">
      <c r="A2553" s="5" t="str">
        <f aca="false">HYPERLINK("https://www.fabsurplus.com/sdi_catalog/salesItemDetails.do?id=102546")</f>
        <v>https://www.fabsurplus.com/sdi_catalog/salesItemDetails.do?id=102546</v>
      </c>
      <c r="B2553" s="5" t="s">
        <v>6780</v>
      </c>
      <c r="C2553" s="5" t="s">
        <v>6738</v>
      </c>
      <c r="D2553" s="5" t="s">
        <v>6774</v>
      </c>
      <c r="E2553" s="5" t="s">
        <v>6781</v>
      </c>
      <c r="F2553" s="5" t="s">
        <v>341</v>
      </c>
      <c r="G2553" s="5" t="s">
        <v>154</v>
      </c>
      <c r="H2553" s="5"/>
      <c r="I2553" s="5"/>
      <c r="J2553" s="5" t="s">
        <v>47</v>
      </c>
      <c r="K2553" s="5"/>
      <c r="L2553" s="5"/>
    </row>
    <row r="2554" customFormat="false" ht="13.35" hidden="false" customHeight="true" outlineLevel="0" collapsed="false">
      <c r="A2554" s="2" t="str">
        <f aca="false">HYPERLINK("https://www.fabsurplus.com/sdi_catalog/salesItemDetails.do?id=102547")</f>
        <v>https://www.fabsurplus.com/sdi_catalog/salesItemDetails.do?id=102547</v>
      </c>
      <c r="B2554" s="2" t="s">
        <v>6782</v>
      </c>
      <c r="C2554" s="2" t="s">
        <v>6738</v>
      </c>
      <c r="D2554" s="2" t="s">
        <v>6774</v>
      </c>
      <c r="E2554" s="2" t="s">
        <v>6783</v>
      </c>
      <c r="F2554" s="2" t="s">
        <v>125</v>
      </c>
      <c r="G2554" s="2" t="s">
        <v>154</v>
      </c>
      <c r="H2554" s="2"/>
      <c r="I2554" s="2"/>
      <c r="J2554" s="2" t="s">
        <v>47</v>
      </c>
      <c r="K2554" s="2"/>
      <c r="L2554" s="2"/>
    </row>
    <row r="2555" customFormat="false" ht="13.35" hidden="false" customHeight="true" outlineLevel="0" collapsed="false">
      <c r="A2555" s="5" t="str">
        <f aca="false">HYPERLINK("https://www.fabsurplus.com/sdi_catalog/salesItemDetails.do?id=102548")</f>
        <v>https://www.fabsurplus.com/sdi_catalog/salesItemDetails.do?id=102548</v>
      </c>
      <c r="B2555" s="5" t="s">
        <v>6784</v>
      </c>
      <c r="C2555" s="5" t="s">
        <v>6738</v>
      </c>
      <c r="D2555" s="5" t="s">
        <v>6774</v>
      </c>
      <c r="E2555" s="5" t="s">
        <v>6785</v>
      </c>
      <c r="F2555" s="5" t="s">
        <v>58</v>
      </c>
      <c r="G2555" s="5" t="s">
        <v>154</v>
      </c>
      <c r="H2555" s="5"/>
      <c r="I2555" s="5"/>
      <c r="J2555" s="5" t="s">
        <v>47</v>
      </c>
      <c r="K2555" s="5"/>
      <c r="L2555" s="5"/>
    </row>
    <row r="2556" customFormat="false" ht="13.35" hidden="false" customHeight="true" outlineLevel="0" collapsed="false">
      <c r="A2556" s="2" t="str">
        <f aca="false">HYPERLINK("https://www.fabsurplus.com/sdi_catalog/salesItemDetails.do?id=102549")</f>
        <v>https://www.fabsurplus.com/sdi_catalog/salesItemDetails.do?id=102549</v>
      </c>
      <c r="B2556" s="2" t="s">
        <v>6786</v>
      </c>
      <c r="C2556" s="2" t="s">
        <v>6738</v>
      </c>
      <c r="D2556" s="2" t="s">
        <v>6774</v>
      </c>
      <c r="E2556" s="2" t="s">
        <v>6787</v>
      </c>
      <c r="F2556" s="2" t="s">
        <v>16</v>
      </c>
      <c r="G2556" s="2" t="s">
        <v>154</v>
      </c>
      <c r="H2556" s="2"/>
      <c r="I2556" s="2"/>
      <c r="J2556" s="2" t="s">
        <v>47</v>
      </c>
      <c r="K2556" s="2"/>
      <c r="L2556" s="2"/>
    </row>
    <row r="2557" customFormat="false" ht="13.35" hidden="false" customHeight="true" outlineLevel="0" collapsed="false">
      <c r="A2557" s="5" t="str">
        <f aca="false">HYPERLINK("https://www.fabsurplus.com/sdi_catalog/salesItemDetails.do?id=102550")</f>
        <v>https://www.fabsurplus.com/sdi_catalog/salesItemDetails.do?id=102550</v>
      </c>
      <c r="B2557" s="5" t="s">
        <v>6788</v>
      </c>
      <c r="C2557" s="5" t="s">
        <v>6738</v>
      </c>
      <c r="D2557" s="5" t="s">
        <v>6774</v>
      </c>
      <c r="E2557" s="5" t="s">
        <v>6789</v>
      </c>
      <c r="F2557" s="5" t="s">
        <v>125</v>
      </c>
      <c r="G2557" s="5" t="s">
        <v>154</v>
      </c>
      <c r="H2557" s="5"/>
      <c r="I2557" s="5"/>
      <c r="J2557" s="5" t="s">
        <v>47</v>
      </c>
      <c r="K2557" s="5"/>
      <c r="L2557" s="5"/>
    </row>
    <row r="2558" customFormat="false" ht="13.35" hidden="false" customHeight="true" outlineLevel="0" collapsed="false">
      <c r="A2558" s="2" t="str">
        <f aca="false">HYPERLINK("https://www.fabsurplus.com/sdi_catalog/salesItemDetails.do?id=98046")</f>
        <v>https://www.fabsurplus.com/sdi_catalog/salesItemDetails.do?id=98046</v>
      </c>
      <c r="B2558" s="2" t="s">
        <v>6790</v>
      </c>
      <c r="C2558" s="2" t="s">
        <v>6791</v>
      </c>
      <c r="D2558" s="2" t="s">
        <v>6733</v>
      </c>
      <c r="E2558" s="2" t="s">
        <v>6724</v>
      </c>
      <c r="F2558" s="2" t="s">
        <v>16</v>
      </c>
      <c r="G2558" s="2" t="s">
        <v>17</v>
      </c>
      <c r="H2558" s="2"/>
      <c r="I2558" s="3" t="n">
        <v>41061</v>
      </c>
      <c r="J2558" s="2" t="s">
        <v>19</v>
      </c>
      <c r="K2558" s="2"/>
      <c r="L2558" s="2"/>
    </row>
    <row r="2559" customFormat="false" ht="13.35" hidden="false" customHeight="true" outlineLevel="0" collapsed="false">
      <c r="A2559" s="5" t="str">
        <f aca="false">HYPERLINK("https://www.fabsurplus.com/sdi_catalog/salesItemDetails.do?id=103180")</f>
        <v>https://www.fabsurplus.com/sdi_catalog/salesItemDetails.do?id=103180</v>
      </c>
      <c r="B2559" s="5" t="s">
        <v>6792</v>
      </c>
      <c r="C2559" s="5" t="s">
        <v>6793</v>
      </c>
      <c r="D2559" s="5" t="s">
        <v>6794</v>
      </c>
      <c r="E2559" s="5" t="s">
        <v>6795</v>
      </c>
      <c r="F2559" s="5" t="s">
        <v>16</v>
      </c>
      <c r="G2559" s="5"/>
      <c r="H2559" s="5"/>
      <c r="I2559" s="6" t="n">
        <v>40330</v>
      </c>
      <c r="J2559" s="5" t="s">
        <v>47</v>
      </c>
      <c r="K2559" s="5"/>
      <c r="L2559" s="7" t="s">
        <v>6796</v>
      </c>
    </row>
    <row r="2560" customFormat="false" ht="13.35" hidden="false" customHeight="true" outlineLevel="0" collapsed="false">
      <c r="A2560" s="5" t="str">
        <f aca="false">HYPERLINK("https://www.fabsurplus.com/sdi_catalog/salesItemDetails.do?id=33771")</f>
        <v>https://www.fabsurplus.com/sdi_catalog/salesItemDetails.do?id=33771</v>
      </c>
      <c r="B2560" s="5" t="s">
        <v>6797</v>
      </c>
      <c r="C2560" s="5" t="s">
        <v>6798</v>
      </c>
      <c r="D2560" s="5" t="s">
        <v>6799</v>
      </c>
      <c r="E2560" s="5" t="s">
        <v>6800</v>
      </c>
      <c r="F2560" s="5" t="s">
        <v>16</v>
      </c>
      <c r="G2560" s="5" t="s">
        <v>2027</v>
      </c>
      <c r="H2560" s="5" t="s">
        <v>18</v>
      </c>
      <c r="I2560" s="5"/>
      <c r="J2560" s="5" t="s">
        <v>19</v>
      </c>
      <c r="K2560" s="5" t="s">
        <v>20</v>
      </c>
      <c r="L2560" s="7" t="s">
        <v>6801</v>
      </c>
    </row>
    <row r="2561" customFormat="false" ht="13.35" hidden="false" customHeight="true" outlineLevel="0" collapsed="false">
      <c r="A2561" s="2" t="str">
        <f aca="false">HYPERLINK("https://www.fabsurplus.com/sdi_catalog/salesItemDetails.do?id=64782")</f>
        <v>https://www.fabsurplus.com/sdi_catalog/salesItemDetails.do?id=64782</v>
      </c>
      <c r="B2561" s="2" t="s">
        <v>6802</v>
      </c>
      <c r="C2561" s="2" t="s">
        <v>6798</v>
      </c>
      <c r="D2561" s="2"/>
      <c r="E2561" s="2" t="s">
        <v>6803</v>
      </c>
      <c r="F2561" s="2" t="s">
        <v>16</v>
      </c>
      <c r="G2561" s="2"/>
      <c r="H2561" s="2"/>
      <c r="I2561" s="2"/>
      <c r="J2561" s="2" t="s">
        <v>19</v>
      </c>
      <c r="K2561" s="2"/>
      <c r="L2561" s="2" t="s">
        <v>6804</v>
      </c>
    </row>
    <row r="2562" customFormat="false" ht="13.35" hidden="false" customHeight="true" outlineLevel="0" collapsed="false">
      <c r="A2562" s="5" t="str">
        <f aca="false">HYPERLINK("https://www.fabsurplus.com/sdi_catalog/salesItemDetails.do?id=87901")</f>
        <v>https://www.fabsurplus.com/sdi_catalog/salesItemDetails.do?id=87901</v>
      </c>
      <c r="B2562" s="5" t="s">
        <v>6805</v>
      </c>
      <c r="C2562" s="5" t="s">
        <v>6806</v>
      </c>
      <c r="D2562" s="5" t="s">
        <v>6807</v>
      </c>
      <c r="E2562" s="5" t="s">
        <v>6808</v>
      </c>
      <c r="F2562" s="5" t="s">
        <v>16</v>
      </c>
      <c r="G2562" s="5" t="s">
        <v>17</v>
      </c>
      <c r="H2562" s="5"/>
      <c r="I2562" s="6" t="n">
        <v>40330</v>
      </c>
      <c r="J2562" s="5" t="s">
        <v>19</v>
      </c>
      <c r="K2562" s="5"/>
      <c r="L2562" s="5" t="s">
        <v>830</v>
      </c>
    </row>
    <row r="2563" customFormat="false" ht="13.35" hidden="false" customHeight="true" outlineLevel="0" collapsed="false">
      <c r="A2563" s="5" t="str">
        <f aca="false">HYPERLINK("https://www.fabsurplus.com/sdi_catalog/salesItemDetails.do?id=88141")</f>
        <v>https://www.fabsurplus.com/sdi_catalog/salesItemDetails.do?id=88141</v>
      </c>
      <c r="B2563" s="5" t="s">
        <v>6809</v>
      </c>
      <c r="C2563" s="5" t="s">
        <v>6810</v>
      </c>
      <c r="D2563" s="5" t="s">
        <v>6811</v>
      </c>
      <c r="E2563" s="5" t="s">
        <v>87</v>
      </c>
      <c r="F2563" s="5" t="s">
        <v>125</v>
      </c>
      <c r="G2563" s="5" t="s">
        <v>88</v>
      </c>
      <c r="H2563" s="5"/>
      <c r="I2563" s="5"/>
      <c r="J2563" s="5" t="s">
        <v>19</v>
      </c>
      <c r="K2563" s="5"/>
      <c r="L2563" s="5" t="s">
        <v>89</v>
      </c>
    </row>
    <row r="2564" customFormat="false" ht="13.35" hidden="false" customHeight="true" outlineLevel="0" collapsed="false">
      <c r="A2564" s="5" t="str">
        <f aca="false">HYPERLINK("https://www.fabsurplus.com/sdi_catalog/salesItemDetails.do?id=61012")</f>
        <v>https://www.fabsurplus.com/sdi_catalog/salesItemDetails.do?id=61012</v>
      </c>
      <c r="B2564" s="5" t="s">
        <v>6812</v>
      </c>
      <c r="C2564" s="5" t="s">
        <v>6813</v>
      </c>
      <c r="D2564" s="5" t="s">
        <v>6814</v>
      </c>
      <c r="E2564" s="5" t="s">
        <v>3868</v>
      </c>
      <c r="F2564" s="5" t="s">
        <v>16</v>
      </c>
      <c r="G2564" s="5" t="s">
        <v>862</v>
      </c>
      <c r="H2564" s="5" t="s">
        <v>18</v>
      </c>
      <c r="I2564" s="6" t="n">
        <v>35431</v>
      </c>
      <c r="J2564" s="5" t="s">
        <v>19</v>
      </c>
      <c r="K2564" s="5" t="s">
        <v>20</v>
      </c>
      <c r="L2564" s="7" t="s">
        <v>6815</v>
      </c>
    </row>
    <row r="2565" customFormat="false" ht="13.35" hidden="false" customHeight="true" outlineLevel="0" collapsed="false">
      <c r="A2565" s="5" t="str">
        <f aca="false">HYPERLINK("https://www.fabsurplus.com/sdi_catalog/salesItemDetails.do?id=98438")</f>
        <v>https://www.fabsurplus.com/sdi_catalog/salesItemDetails.do?id=98438</v>
      </c>
      <c r="B2565" s="5" t="s">
        <v>6816</v>
      </c>
      <c r="C2565" s="5" t="s">
        <v>6817</v>
      </c>
      <c r="D2565" s="5" t="s">
        <v>6818</v>
      </c>
      <c r="E2565" s="5" t="s">
        <v>3287</v>
      </c>
      <c r="F2565" s="5" t="s">
        <v>16</v>
      </c>
      <c r="G2565" s="5" t="s">
        <v>6819</v>
      </c>
      <c r="H2565" s="5"/>
      <c r="I2565" s="5"/>
      <c r="J2565" s="5" t="s">
        <v>19</v>
      </c>
      <c r="K2565" s="5"/>
      <c r="L2565" s="5" t="s">
        <v>893</v>
      </c>
    </row>
    <row r="2566" customFormat="false" ht="13.35" hidden="false" customHeight="true" outlineLevel="0" collapsed="false">
      <c r="A2566" s="2" t="str">
        <f aca="false">HYPERLINK("https://www.fabsurplus.com/sdi_catalog/salesItemDetails.do?id=101809")</f>
        <v>https://www.fabsurplus.com/sdi_catalog/salesItemDetails.do?id=101809</v>
      </c>
      <c r="B2566" s="2" t="s">
        <v>6820</v>
      </c>
      <c r="C2566" s="2" t="s">
        <v>6817</v>
      </c>
      <c r="D2566" s="2" t="s">
        <v>6821</v>
      </c>
      <c r="E2566" s="2" t="s">
        <v>6822</v>
      </c>
      <c r="F2566" s="2" t="s">
        <v>16</v>
      </c>
      <c r="G2566" s="2" t="s">
        <v>36</v>
      </c>
      <c r="H2566" s="2"/>
      <c r="I2566" s="2"/>
      <c r="J2566" s="2" t="s">
        <v>47</v>
      </c>
      <c r="K2566" s="2"/>
      <c r="L2566" s="2"/>
    </row>
    <row r="2567" customFormat="false" ht="13.35" hidden="false" customHeight="true" outlineLevel="0" collapsed="false">
      <c r="A2567" s="5" t="str">
        <f aca="false">HYPERLINK("https://www.fabsurplus.com/sdi_catalog/salesItemDetails.do?id=101810")</f>
        <v>https://www.fabsurplus.com/sdi_catalog/salesItemDetails.do?id=101810</v>
      </c>
      <c r="B2567" s="5" t="s">
        <v>6823</v>
      </c>
      <c r="C2567" s="5" t="s">
        <v>6817</v>
      </c>
      <c r="D2567" s="5" t="s">
        <v>6824</v>
      </c>
      <c r="E2567" s="5" t="s">
        <v>6825</v>
      </c>
      <c r="F2567" s="5" t="s">
        <v>16</v>
      </c>
      <c r="G2567" s="5" t="s">
        <v>36</v>
      </c>
      <c r="H2567" s="5"/>
      <c r="I2567" s="6" t="n">
        <v>36312</v>
      </c>
      <c r="J2567" s="5" t="s">
        <v>47</v>
      </c>
      <c r="K2567" s="5"/>
      <c r="L2567" s="5"/>
    </row>
    <row r="2568" customFormat="false" ht="13.35" hidden="false" customHeight="true" outlineLevel="0" collapsed="false">
      <c r="A2568" s="2" t="str">
        <f aca="false">HYPERLINK("https://www.fabsurplus.com/sdi_catalog/salesItemDetails.do?id=91569")</f>
        <v>https://www.fabsurplus.com/sdi_catalog/salesItemDetails.do?id=91569</v>
      </c>
      <c r="B2568" s="2" t="s">
        <v>6826</v>
      </c>
      <c r="C2568" s="2" t="s">
        <v>6827</v>
      </c>
      <c r="D2568" s="2" t="s">
        <v>6828</v>
      </c>
      <c r="E2568" s="2" t="s">
        <v>6829</v>
      </c>
      <c r="F2568" s="2" t="s">
        <v>16</v>
      </c>
      <c r="G2568" s="2" t="s">
        <v>36</v>
      </c>
      <c r="H2568" s="2" t="s">
        <v>26</v>
      </c>
      <c r="I2568" s="3" t="n">
        <v>36678</v>
      </c>
      <c r="J2568" s="2" t="s">
        <v>19</v>
      </c>
      <c r="K2568" s="2" t="s">
        <v>20</v>
      </c>
      <c r="L2568" s="4" t="s">
        <v>6830</v>
      </c>
    </row>
    <row r="2569" customFormat="false" ht="13.35" hidden="false" customHeight="true" outlineLevel="0" collapsed="false">
      <c r="A2569" s="5" t="str">
        <f aca="false">HYPERLINK("https://www.fabsurplus.com/sdi_catalog/salesItemDetails.do?id=101851")</f>
        <v>https://www.fabsurplus.com/sdi_catalog/salesItemDetails.do?id=101851</v>
      </c>
      <c r="B2569" s="5" t="s">
        <v>6831</v>
      </c>
      <c r="C2569" s="5" t="s">
        <v>6827</v>
      </c>
      <c r="D2569" s="5" t="s">
        <v>6832</v>
      </c>
      <c r="E2569" s="5" t="s">
        <v>6833</v>
      </c>
      <c r="F2569" s="5" t="s">
        <v>46</v>
      </c>
      <c r="G2569" s="5" t="s">
        <v>6834</v>
      </c>
      <c r="H2569" s="5" t="s">
        <v>26</v>
      </c>
      <c r="I2569" s="6" t="n">
        <v>40940</v>
      </c>
      <c r="J2569" s="5" t="s">
        <v>19</v>
      </c>
      <c r="K2569" s="5" t="s">
        <v>20</v>
      </c>
      <c r="L2569" s="5"/>
    </row>
    <row r="2570" customFormat="false" ht="13.35" hidden="false" customHeight="true" outlineLevel="0" collapsed="false">
      <c r="A2570" s="5" t="str">
        <f aca="false">HYPERLINK("https://www.fabsurplus.com/sdi_catalog/salesItemDetails.do?id=103148")</f>
        <v>https://www.fabsurplus.com/sdi_catalog/salesItemDetails.do?id=103148</v>
      </c>
      <c r="B2570" s="5" t="s">
        <v>6835</v>
      </c>
      <c r="C2570" s="5" t="s">
        <v>6836</v>
      </c>
      <c r="D2570" s="5" t="s">
        <v>6837</v>
      </c>
      <c r="E2570" s="5" t="s">
        <v>6838</v>
      </c>
      <c r="F2570" s="5" t="s">
        <v>16</v>
      </c>
      <c r="G2570" s="5" t="s">
        <v>17</v>
      </c>
      <c r="H2570" s="5"/>
      <c r="I2570" s="6" t="n">
        <v>40695</v>
      </c>
      <c r="J2570" s="5" t="s">
        <v>19</v>
      </c>
      <c r="K2570" s="5"/>
      <c r="L2570" s="5"/>
    </row>
    <row r="2571" customFormat="false" ht="13.35" hidden="false" customHeight="true" outlineLevel="0" collapsed="false">
      <c r="A2571" s="2" t="str">
        <f aca="false">HYPERLINK("https://www.fabsurplus.com/sdi_catalog/salesItemDetails.do?id=98047")</f>
        <v>https://www.fabsurplus.com/sdi_catalog/salesItemDetails.do?id=98047</v>
      </c>
      <c r="B2571" s="2" t="s">
        <v>6839</v>
      </c>
      <c r="C2571" s="2" t="s">
        <v>6836</v>
      </c>
      <c r="D2571" s="2" t="s">
        <v>6837</v>
      </c>
      <c r="E2571" s="2" t="s">
        <v>6840</v>
      </c>
      <c r="F2571" s="2" t="s">
        <v>16</v>
      </c>
      <c r="G2571" s="2" t="s">
        <v>17</v>
      </c>
      <c r="H2571" s="2"/>
      <c r="I2571" s="3" t="n">
        <v>40695</v>
      </c>
      <c r="J2571" s="2" t="s">
        <v>19</v>
      </c>
      <c r="K2571" s="2"/>
      <c r="L2571" s="2"/>
    </row>
    <row r="2572" customFormat="false" ht="13.35" hidden="false" customHeight="true" outlineLevel="0" collapsed="false">
      <c r="A2572" s="5" t="str">
        <f aca="false">HYPERLINK("https://www.fabsurplus.com/sdi_catalog/salesItemDetails.do?id=102454")</f>
        <v>https://www.fabsurplus.com/sdi_catalog/salesItemDetails.do?id=102454</v>
      </c>
      <c r="B2572" s="5" t="s">
        <v>6841</v>
      </c>
      <c r="C2572" s="5" t="s">
        <v>6842</v>
      </c>
      <c r="D2572" s="5" t="s">
        <v>6843</v>
      </c>
      <c r="E2572" s="5" t="s">
        <v>6844</v>
      </c>
      <c r="F2572" s="5" t="s">
        <v>16</v>
      </c>
      <c r="G2572" s="5" t="s">
        <v>160</v>
      </c>
      <c r="H2572" s="5"/>
      <c r="I2572" s="5"/>
      <c r="J2572" s="5" t="s">
        <v>19</v>
      </c>
      <c r="K2572" s="5"/>
      <c r="L2572" s="5"/>
    </row>
    <row r="2573" customFormat="false" ht="13.35" hidden="false" customHeight="true" outlineLevel="0" collapsed="false">
      <c r="A2573" s="2" t="str">
        <f aca="false">HYPERLINK("https://www.fabsurplus.com/sdi_catalog/salesItemDetails.do?id=102455")</f>
        <v>https://www.fabsurplus.com/sdi_catalog/salesItemDetails.do?id=102455</v>
      </c>
      <c r="B2573" s="2" t="s">
        <v>6845</v>
      </c>
      <c r="C2573" s="2" t="s">
        <v>6842</v>
      </c>
      <c r="D2573" s="2" t="s">
        <v>6846</v>
      </c>
      <c r="E2573" s="2" t="s">
        <v>6844</v>
      </c>
      <c r="F2573" s="2" t="s">
        <v>16</v>
      </c>
      <c r="G2573" s="2" t="s">
        <v>160</v>
      </c>
      <c r="H2573" s="2"/>
      <c r="I2573" s="2"/>
      <c r="J2573" s="2" t="s">
        <v>19</v>
      </c>
      <c r="K2573" s="2"/>
      <c r="L2573" s="2"/>
    </row>
    <row r="2574" customFormat="false" ht="13.35" hidden="false" customHeight="true" outlineLevel="0" collapsed="false">
      <c r="A2574" s="5" t="str">
        <f aca="false">HYPERLINK("https://www.fabsurplus.com/sdi_catalog/salesItemDetails.do?id=103050")</f>
        <v>https://www.fabsurplus.com/sdi_catalog/salesItemDetails.do?id=103050</v>
      </c>
      <c r="B2574" s="5" t="s">
        <v>6847</v>
      </c>
      <c r="C2574" s="5" t="s">
        <v>6848</v>
      </c>
      <c r="D2574" s="5" t="s">
        <v>6849</v>
      </c>
      <c r="E2574" s="5" t="s">
        <v>6850</v>
      </c>
      <c r="F2574" s="5" t="s">
        <v>16</v>
      </c>
      <c r="G2574" s="5" t="s">
        <v>2660</v>
      </c>
      <c r="H2574" s="5"/>
      <c r="I2574" s="5"/>
      <c r="J2574" s="5" t="s">
        <v>19</v>
      </c>
      <c r="K2574" s="5"/>
      <c r="L2574" s="7" t="s">
        <v>6851</v>
      </c>
    </row>
    <row r="2575" customFormat="false" ht="13.35" hidden="false" customHeight="true" outlineLevel="0" collapsed="false">
      <c r="A2575" s="5" t="str">
        <f aca="false">HYPERLINK("https://www.fabsurplus.com/sdi_catalog/salesItemDetails.do?id=101700")</f>
        <v>https://www.fabsurplus.com/sdi_catalog/salesItemDetails.do?id=101700</v>
      </c>
      <c r="B2575" s="5" t="s">
        <v>6852</v>
      </c>
      <c r="C2575" s="5" t="s">
        <v>6853</v>
      </c>
      <c r="D2575" s="5" t="s">
        <v>6854</v>
      </c>
      <c r="E2575" s="5" t="s">
        <v>6855</v>
      </c>
      <c r="F2575" s="5" t="s">
        <v>336</v>
      </c>
      <c r="G2575" s="5" t="s">
        <v>6856</v>
      </c>
      <c r="H2575" s="5" t="s">
        <v>18</v>
      </c>
      <c r="I2575" s="5"/>
      <c r="J2575" s="5" t="s">
        <v>19</v>
      </c>
      <c r="K2575" s="5" t="s">
        <v>20</v>
      </c>
      <c r="L2575" s="7" t="s">
        <v>6857</v>
      </c>
    </row>
    <row r="2576" customFormat="false" ht="13.35" hidden="false" customHeight="true" outlineLevel="0" collapsed="false">
      <c r="A2576" s="2" t="str">
        <f aca="false">HYPERLINK("https://www.fabsurplus.com/sdi_catalog/salesItemDetails.do?id=91570")</f>
        <v>https://www.fabsurplus.com/sdi_catalog/salesItemDetails.do?id=91570</v>
      </c>
      <c r="B2576" s="2" t="s">
        <v>6858</v>
      </c>
      <c r="C2576" s="2" t="s">
        <v>6859</v>
      </c>
      <c r="D2576" s="2" t="s">
        <v>6860</v>
      </c>
      <c r="E2576" s="2" t="s">
        <v>6861</v>
      </c>
      <c r="F2576" s="2" t="s">
        <v>16</v>
      </c>
      <c r="G2576" s="2" t="s">
        <v>17</v>
      </c>
      <c r="H2576" s="2"/>
      <c r="I2576" s="3" t="n">
        <v>40330</v>
      </c>
      <c r="J2576" s="2" t="s">
        <v>19</v>
      </c>
      <c r="K2576" s="2"/>
      <c r="L2576" s="2" t="s">
        <v>112</v>
      </c>
    </row>
    <row r="2577" customFormat="false" ht="13.35" hidden="false" customHeight="true" outlineLevel="0" collapsed="false">
      <c r="A2577" s="5" t="str">
        <f aca="false">HYPERLINK("https://www.fabsurplus.com/sdi_catalog/salesItemDetails.do?id=99433")</f>
        <v>https://www.fabsurplus.com/sdi_catalog/salesItemDetails.do?id=99433</v>
      </c>
      <c r="B2577" s="5" t="s">
        <v>6862</v>
      </c>
      <c r="C2577" s="5" t="s">
        <v>6863</v>
      </c>
      <c r="D2577" s="5" t="s">
        <v>6864</v>
      </c>
      <c r="E2577" s="5" t="s">
        <v>6865</v>
      </c>
      <c r="F2577" s="5" t="s">
        <v>16</v>
      </c>
      <c r="G2577" s="5" t="s">
        <v>160</v>
      </c>
      <c r="H2577" s="5"/>
      <c r="I2577" s="6" t="n">
        <v>36678</v>
      </c>
      <c r="J2577" s="5" t="s">
        <v>19</v>
      </c>
      <c r="K2577" s="5"/>
      <c r="L2577" s="7" t="s">
        <v>6866</v>
      </c>
    </row>
    <row r="2578" customFormat="false" ht="13.35" hidden="false" customHeight="true" outlineLevel="0" collapsed="false">
      <c r="A2578" s="2" t="str">
        <f aca="false">HYPERLINK("https://www.fabsurplus.com/sdi_catalog/salesItemDetails.do?id=55905")</f>
        <v>https://www.fabsurplus.com/sdi_catalog/salesItemDetails.do?id=55905</v>
      </c>
      <c r="B2578" s="2" t="s">
        <v>6867</v>
      </c>
      <c r="C2578" s="2" t="s">
        <v>6868</v>
      </c>
      <c r="D2578" s="2" t="s">
        <v>6864</v>
      </c>
      <c r="E2578" s="2" t="s">
        <v>6869</v>
      </c>
      <c r="F2578" s="2" t="s">
        <v>16</v>
      </c>
      <c r="G2578" s="2"/>
      <c r="H2578" s="2" t="s">
        <v>18</v>
      </c>
      <c r="I2578" s="3" t="n">
        <v>36526.0416666667</v>
      </c>
      <c r="J2578" s="2" t="s">
        <v>19</v>
      </c>
      <c r="K2578" s="2" t="s">
        <v>20</v>
      </c>
      <c r="L2578" s="4" t="s">
        <v>6870</v>
      </c>
    </row>
    <row r="2579" customFormat="false" ht="13.35" hidden="false" customHeight="true" outlineLevel="0" collapsed="false">
      <c r="A2579" s="2" t="str">
        <f aca="false">HYPERLINK("https://www.fabsurplus.com/sdi_catalog/salesItemDetails.do?id=96025")</f>
        <v>https://www.fabsurplus.com/sdi_catalog/salesItemDetails.do?id=96025</v>
      </c>
      <c r="B2579" s="2" t="s">
        <v>6871</v>
      </c>
      <c r="C2579" s="2" t="s">
        <v>6868</v>
      </c>
      <c r="D2579" s="2" t="s">
        <v>6872</v>
      </c>
      <c r="E2579" s="2" t="s">
        <v>6873</v>
      </c>
      <c r="F2579" s="2" t="s">
        <v>16</v>
      </c>
      <c r="G2579" s="2" t="s">
        <v>499</v>
      </c>
      <c r="H2579" s="2"/>
      <c r="I2579" s="3" t="n">
        <v>35582</v>
      </c>
      <c r="J2579" s="2" t="s">
        <v>19</v>
      </c>
      <c r="K2579" s="2"/>
      <c r="L2579" s="4" t="s">
        <v>209</v>
      </c>
    </row>
    <row r="2580" customFormat="false" ht="13.35" hidden="false" customHeight="true" outlineLevel="0" collapsed="false">
      <c r="A2580" s="5" t="str">
        <f aca="false">HYPERLINK("https://www.fabsurplus.com/sdi_catalog/salesItemDetails.do?id=96027")</f>
        <v>https://www.fabsurplus.com/sdi_catalog/salesItemDetails.do?id=96027</v>
      </c>
      <c r="B2580" s="5" t="s">
        <v>6874</v>
      </c>
      <c r="C2580" s="5" t="s">
        <v>6868</v>
      </c>
      <c r="D2580" s="5" t="s">
        <v>6872</v>
      </c>
      <c r="E2580" s="5" t="s">
        <v>6873</v>
      </c>
      <c r="F2580" s="5" t="s">
        <v>16</v>
      </c>
      <c r="G2580" s="5" t="s">
        <v>499</v>
      </c>
      <c r="H2580" s="5"/>
      <c r="I2580" s="6" t="n">
        <v>35582</v>
      </c>
      <c r="J2580" s="5" t="s">
        <v>19</v>
      </c>
      <c r="K2580" s="5"/>
      <c r="L2580" s="7" t="s">
        <v>209</v>
      </c>
    </row>
    <row r="2581" customFormat="false" ht="13.35" hidden="false" customHeight="true" outlineLevel="0" collapsed="false">
      <c r="A2581" s="5" t="str">
        <f aca="false">HYPERLINK("https://www.fabsurplus.com/sdi_catalog/salesItemDetails.do?id=97887")</f>
        <v>https://www.fabsurplus.com/sdi_catalog/salesItemDetails.do?id=97887</v>
      </c>
      <c r="B2581" s="5" t="s">
        <v>6875</v>
      </c>
      <c r="C2581" s="5" t="s">
        <v>6876</v>
      </c>
      <c r="D2581" s="5" t="s">
        <v>6877</v>
      </c>
      <c r="E2581" s="5" t="s">
        <v>6878</v>
      </c>
      <c r="F2581" s="5" t="s">
        <v>16</v>
      </c>
      <c r="G2581" s="5"/>
      <c r="H2581" s="5"/>
      <c r="I2581" s="6" t="n">
        <v>39600</v>
      </c>
      <c r="J2581" s="5" t="s">
        <v>19</v>
      </c>
      <c r="K2581" s="5"/>
      <c r="L2581" s="5"/>
    </row>
    <row r="2582" customFormat="false" ht="13.35" hidden="false" customHeight="true" outlineLevel="0" collapsed="false">
      <c r="A2582" s="5" t="str">
        <f aca="false">HYPERLINK("https://www.fabsurplus.com/sdi_catalog/salesItemDetails.do?id=88142")</f>
        <v>https://www.fabsurplus.com/sdi_catalog/salesItemDetails.do?id=88142</v>
      </c>
      <c r="B2582" s="5" t="s">
        <v>6879</v>
      </c>
      <c r="C2582" s="5" t="s">
        <v>6880</v>
      </c>
      <c r="D2582" s="5" t="s">
        <v>6881</v>
      </c>
      <c r="E2582" s="5" t="s">
        <v>87</v>
      </c>
      <c r="F2582" s="5" t="s">
        <v>125</v>
      </c>
      <c r="G2582" s="5" t="s">
        <v>88</v>
      </c>
      <c r="H2582" s="5"/>
      <c r="I2582" s="5"/>
      <c r="J2582" s="5" t="s">
        <v>19</v>
      </c>
      <c r="K2582" s="5"/>
      <c r="L2582" s="5" t="s">
        <v>89</v>
      </c>
    </row>
    <row r="2583" customFormat="false" ht="13.35" hidden="false" customHeight="true" outlineLevel="0" collapsed="false">
      <c r="A2583" s="2" t="str">
        <f aca="false">HYPERLINK("https://www.fabsurplus.com/sdi_catalog/salesItemDetails.do?id=88143")</f>
        <v>https://www.fabsurplus.com/sdi_catalog/salesItemDetails.do?id=88143</v>
      </c>
      <c r="B2583" s="2" t="s">
        <v>6882</v>
      </c>
      <c r="C2583" s="2" t="s">
        <v>6880</v>
      </c>
      <c r="D2583" s="2" t="s">
        <v>6883</v>
      </c>
      <c r="E2583" s="2" t="s">
        <v>87</v>
      </c>
      <c r="F2583" s="2" t="s">
        <v>2000</v>
      </c>
      <c r="G2583" s="2" t="s">
        <v>88</v>
      </c>
      <c r="H2583" s="2"/>
      <c r="I2583" s="2"/>
      <c r="J2583" s="2" t="s">
        <v>19</v>
      </c>
      <c r="K2583" s="2"/>
      <c r="L2583" s="2" t="s">
        <v>89</v>
      </c>
    </row>
    <row r="2584" customFormat="false" ht="13.35" hidden="false" customHeight="true" outlineLevel="0" collapsed="false">
      <c r="A2584" s="5" t="str">
        <f aca="false">HYPERLINK("https://www.fabsurplus.com/sdi_catalog/salesItemDetails.do?id=88144")</f>
        <v>https://www.fabsurplus.com/sdi_catalog/salesItemDetails.do?id=88144</v>
      </c>
      <c r="B2584" s="5" t="s">
        <v>6884</v>
      </c>
      <c r="C2584" s="5" t="s">
        <v>6880</v>
      </c>
      <c r="D2584" s="5" t="s">
        <v>1493</v>
      </c>
      <c r="E2584" s="5" t="s">
        <v>87</v>
      </c>
      <c r="F2584" s="5" t="s">
        <v>366</v>
      </c>
      <c r="G2584" s="5" t="s">
        <v>88</v>
      </c>
      <c r="H2584" s="5"/>
      <c r="I2584" s="5"/>
      <c r="J2584" s="5" t="s">
        <v>19</v>
      </c>
      <c r="K2584" s="5"/>
      <c r="L2584" s="5" t="s">
        <v>89</v>
      </c>
    </row>
    <row r="2585" customFormat="false" ht="13.35" hidden="false" customHeight="true" outlineLevel="0" collapsed="false">
      <c r="A2585" s="2" t="str">
        <f aca="false">HYPERLINK("https://www.fabsurplus.com/sdi_catalog/salesItemDetails.do?id=88145")</f>
        <v>https://www.fabsurplus.com/sdi_catalog/salesItemDetails.do?id=88145</v>
      </c>
      <c r="B2585" s="2" t="s">
        <v>6885</v>
      </c>
      <c r="C2585" s="2" t="s">
        <v>6880</v>
      </c>
      <c r="D2585" s="2" t="s">
        <v>6886</v>
      </c>
      <c r="E2585" s="2" t="s">
        <v>87</v>
      </c>
      <c r="F2585" s="2" t="s">
        <v>16</v>
      </c>
      <c r="G2585" s="2" t="s">
        <v>88</v>
      </c>
      <c r="H2585" s="2"/>
      <c r="I2585" s="2"/>
      <c r="J2585" s="2" t="s">
        <v>19</v>
      </c>
      <c r="K2585" s="2"/>
      <c r="L2585" s="2" t="s">
        <v>89</v>
      </c>
    </row>
    <row r="2586" customFormat="false" ht="13.35" hidden="false" customHeight="true" outlineLevel="0" collapsed="false">
      <c r="A2586" s="5" t="str">
        <f aca="false">HYPERLINK("https://www.fabsurplus.com/sdi_catalog/salesItemDetails.do?id=88146")</f>
        <v>https://www.fabsurplus.com/sdi_catalog/salesItemDetails.do?id=88146</v>
      </c>
      <c r="B2586" s="5" t="s">
        <v>6887</v>
      </c>
      <c r="C2586" s="5" t="s">
        <v>6880</v>
      </c>
      <c r="D2586" s="5" t="s">
        <v>6888</v>
      </c>
      <c r="E2586" s="5" t="s">
        <v>87</v>
      </c>
      <c r="F2586" s="5" t="s">
        <v>366</v>
      </c>
      <c r="G2586" s="5" t="s">
        <v>88</v>
      </c>
      <c r="H2586" s="5"/>
      <c r="I2586" s="5"/>
      <c r="J2586" s="5" t="s">
        <v>19</v>
      </c>
      <c r="K2586" s="5"/>
      <c r="L2586" s="5" t="s">
        <v>89</v>
      </c>
    </row>
    <row r="2587" customFormat="false" ht="13.35" hidden="false" customHeight="true" outlineLevel="0" collapsed="false">
      <c r="A2587" s="2" t="str">
        <f aca="false">HYPERLINK("https://www.fabsurplus.com/sdi_catalog/salesItemDetails.do?id=88147")</f>
        <v>https://www.fabsurplus.com/sdi_catalog/salesItemDetails.do?id=88147</v>
      </c>
      <c r="B2587" s="2" t="s">
        <v>6889</v>
      </c>
      <c r="C2587" s="2" t="s">
        <v>6880</v>
      </c>
      <c r="D2587" s="2" t="s">
        <v>6890</v>
      </c>
      <c r="E2587" s="2" t="s">
        <v>87</v>
      </c>
      <c r="F2587" s="2" t="s">
        <v>16</v>
      </c>
      <c r="G2587" s="2" t="s">
        <v>88</v>
      </c>
      <c r="H2587" s="2"/>
      <c r="I2587" s="2"/>
      <c r="J2587" s="2" t="s">
        <v>19</v>
      </c>
      <c r="K2587" s="2"/>
      <c r="L2587" s="2" t="s">
        <v>89</v>
      </c>
    </row>
    <row r="2588" customFormat="false" ht="13.35" hidden="false" customHeight="true" outlineLevel="0" collapsed="false">
      <c r="A2588" s="5" t="str">
        <f aca="false">HYPERLINK("https://www.fabsurplus.com/sdi_catalog/salesItemDetails.do?id=88148")</f>
        <v>https://www.fabsurplus.com/sdi_catalog/salesItemDetails.do?id=88148</v>
      </c>
      <c r="B2588" s="5" t="s">
        <v>6891</v>
      </c>
      <c r="C2588" s="5" t="s">
        <v>6880</v>
      </c>
      <c r="D2588" s="5" t="s">
        <v>6892</v>
      </c>
      <c r="E2588" s="5" t="s">
        <v>87</v>
      </c>
      <c r="F2588" s="5" t="s">
        <v>16</v>
      </c>
      <c r="G2588" s="5" t="s">
        <v>88</v>
      </c>
      <c r="H2588" s="5"/>
      <c r="I2588" s="5"/>
      <c r="J2588" s="5" t="s">
        <v>19</v>
      </c>
      <c r="K2588" s="5"/>
      <c r="L2588" s="5" t="s">
        <v>89</v>
      </c>
    </row>
    <row r="2589" customFormat="false" ht="13.35" hidden="false" customHeight="true" outlineLevel="0" collapsed="false">
      <c r="A2589" s="2" t="str">
        <f aca="false">HYPERLINK("https://www.fabsurplus.com/sdi_catalog/salesItemDetails.do?id=101760")</f>
        <v>https://www.fabsurplus.com/sdi_catalog/salesItemDetails.do?id=101760</v>
      </c>
      <c r="B2589" s="2" t="s">
        <v>6893</v>
      </c>
      <c r="C2589" s="2" t="s">
        <v>6894</v>
      </c>
      <c r="D2589" s="2" t="s">
        <v>6895</v>
      </c>
      <c r="E2589" s="2" t="s">
        <v>6896</v>
      </c>
      <c r="F2589" s="2" t="s">
        <v>16</v>
      </c>
      <c r="G2589" s="2"/>
      <c r="H2589" s="2"/>
      <c r="I2589" s="3" t="n">
        <v>41671</v>
      </c>
      <c r="J2589" s="2" t="s">
        <v>47</v>
      </c>
      <c r="K2589" s="2"/>
      <c r="L2589" s="2" t="s">
        <v>474</v>
      </c>
    </row>
    <row r="2590" customFormat="false" ht="13.35" hidden="false" customHeight="true" outlineLevel="0" collapsed="false">
      <c r="A2590" s="2" t="str">
        <f aca="false">HYPERLINK("https://www.fabsurplus.com/sdi_catalog/salesItemDetails.do?id=101689")</f>
        <v>https://www.fabsurplus.com/sdi_catalog/salesItemDetails.do?id=101689</v>
      </c>
      <c r="B2590" s="2" t="s">
        <v>6897</v>
      </c>
      <c r="C2590" s="2" t="s">
        <v>6898</v>
      </c>
      <c r="D2590" s="2" t="s">
        <v>6899</v>
      </c>
      <c r="E2590" s="2" t="s">
        <v>41</v>
      </c>
      <c r="F2590" s="2" t="s">
        <v>58</v>
      </c>
      <c r="G2590" s="2" t="s">
        <v>222</v>
      </c>
      <c r="H2590" s="2"/>
      <c r="I2590" s="2"/>
      <c r="J2590" s="2" t="s">
        <v>47</v>
      </c>
      <c r="K2590" s="2"/>
      <c r="L2590" s="2" t="s">
        <v>474</v>
      </c>
    </row>
    <row r="2591" customFormat="false" ht="13.35" hidden="false" customHeight="true" outlineLevel="0" collapsed="false">
      <c r="A2591" s="5" t="str">
        <f aca="false">HYPERLINK("https://www.fabsurplus.com/sdi_catalog/salesItemDetails.do?id=101690")</f>
        <v>https://www.fabsurplus.com/sdi_catalog/salesItemDetails.do?id=101690</v>
      </c>
      <c r="B2591" s="5" t="s">
        <v>6900</v>
      </c>
      <c r="C2591" s="5" t="s">
        <v>6898</v>
      </c>
      <c r="D2591" s="5" t="s">
        <v>6901</v>
      </c>
      <c r="E2591" s="5" t="s">
        <v>2636</v>
      </c>
      <c r="F2591" s="5" t="s">
        <v>366</v>
      </c>
      <c r="G2591" s="5" t="s">
        <v>222</v>
      </c>
      <c r="H2591" s="5"/>
      <c r="I2591" s="5"/>
      <c r="J2591" s="5" t="s">
        <v>47</v>
      </c>
      <c r="K2591" s="5"/>
      <c r="L2591" s="5" t="s">
        <v>474</v>
      </c>
    </row>
    <row r="2592" customFormat="false" ht="13.35" hidden="false" customHeight="true" outlineLevel="0" collapsed="false">
      <c r="A2592" s="2" t="str">
        <f aca="false">HYPERLINK("https://www.fabsurplus.com/sdi_catalog/salesItemDetails.do?id=102456")</f>
        <v>https://www.fabsurplus.com/sdi_catalog/salesItemDetails.do?id=102456</v>
      </c>
      <c r="B2592" s="2" t="s">
        <v>6902</v>
      </c>
      <c r="C2592" s="2" t="s">
        <v>6903</v>
      </c>
      <c r="D2592" s="2" t="s">
        <v>6904</v>
      </c>
      <c r="E2592" s="2" t="s">
        <v>6905</v>
      </c>
      <c r="F2592" s="2" t="s">
        <v>16</v>
      </c>
      <c r="G2592" s="2" t="s">
        <v>17</v>
      </c>
      <c r="H2592" s="2"/>
      <c r="I2592" s="2"/>
      <c r="J2592" s="2" t="s">
        <v>19</v>
      </c>
      <c r="K2592" s="2"/>
      <c r="L2592" s="2"/>
    </row>
    <row r="2593" customFormat="false" ht="13.35" hidden="false" customHeight="true" outlineLevel="0" collapsed="false">
      <c r="A2593" s="2" t="str">
        <f aca="false">HYPERLINK("https://www.fabsurplus.com/sdi_catalog/salesItemDetails.do?id=102458")</f>
        <v>https://www.fabsurplus.com/sdi_catalog/salesItemDetails.do?id=102458</v>
      </c>
      <c r="B2593" s="2" t="s">
        <v>6906</v>
      </c>
      <c r="C2593" s="2" t="s">
        <v>6903</v>
      </c>
      <c r="D2593" s="2" t="s">
        <v>6904</v>
      </c>
      <c r="E2593" s="2" t="s">
        <v>6905</v>
      </c>
      <c r="F2593" s="2" t="s">
        <v>16</v>
      </c>
      <c r="G2593" s="2" t="s">
        <v>17</v>
      </c>
      <c r="H2593" s="2"/>
      <c r="I2593" s="3" t="n">
        <v>38504</v>
      </c>
      <c r="J2593" s="2" t="s">
        <v>19</v>
      </c>
      <c r="K2593" s="2"/>
      <c r="L2593" s="2"/>
    </row>
    <row r="2594" customFormat="false" ht="13.35" hidden="false" customHeight="true" outlineLevel="0" collapsed="false">
      <c r="A2594" s="5" t="str">
        <f aca="false">HYPERLINK("https://www.fabsurplus.com/sdi_catalog/salesItemDetails.do?id=102459")</f>
        <v>https://www.fabsurplus.com/sdi_catalog/salesItemDetails.do?id=102459</v>
      </c>
      <c r="B2594" s="5" t="s">
        <v>6907</v>
      </c>
      <c r="C2594" s="5" t="s">
        <v>6903</v>
      </c>
      <c r="D2594" s="5" t="s">
        <v>6904</v>
      </c>
      <c r="E2594" s="5" t="s">
        <v>6905</v>
      </c>
      <c r="F2594" s="5" t="s">
        <v>16</v>
      </c>
      <c r="G2594" s="5" t="s">
        <v>17</v>
      </c>
      <c r="H2594" s="5"/>
      <c r="I2594" s="5"/>
      <c r="J2594" s="5" t="s">
        <v>19</v>
      </c>
      <c r="K2594" s="5"/>
      <c r="L2594" s="5"/>
    </row>
    <row r="2595" customFormat="false" ht="13.35" hidden="false" customHeight="true" outlineLevel="0" collapsed="false">
      <c r="A2595" s="5" t="str">
        <f aca="false">HYPERLINK("https://www.fabsurplus.com/sdi_catalog/salesItemDetails.do?id=102457")</f>
        <v>https://www.fabsurplus.com/sdi_catalog/salesItemDetails.do?id=102457</v>
      </c>
      <c r="B2595" s="5" t="s">
        <v>6908</v>
      </c>
      <c r="C2595" s="5" t="s">
        <v>6903</v>
      </c>
      <c r="D2595" s="5" t="s">
        <v>6904</v>
      </c>
      <c r="E2595" s="5" t="s">
        <v>1268</v>
      </c>
      <c r="F2595" s="5" t="s">
        <v>16</v>
      </c>
      <c r="G2595" s="5" t="s">
        <v>17</v>
      </c>
      <c r="H2595" s="5"/>
      <c r="I2595" s="6" t="n">
        <v>38504</v>
      </c>
      <c r="J2595" s="5" t="s">
        <v>19</v>
      </c>
      <c r="K2595" s="5"/>
      <c r="L2595" s="5"/>
    </row>
    <row r="2596" customFormat="false" ht="13.35" hidden="false" customHeight="true" outlineLevel="0" collapsed="false">
      <c r="A2596" s="2" t="str">
        <f aca="false">HYPERLINK("https://www.fabsurplus.com/sdi_catalog/salesItemDetails.do?id=87543")</f>
        <v>https://www.fabsurplus.com/sdi_catalog/salesItemDetails.do?id=87543</v>
      </c>
      <c r="B2596" s="2" t="s">
        <v>6909</v>
      </c>
      <c r="C2596" s="2" t="s">
        <v>6910</v>
      </c>
      <c r="D2596" s="2" t="s">
        <v>6911</v>
      </c>
      <c r="E2596" s="2" t="s">
        <v>6912</v>
      </c>
      <c r="F2596" s="2" t="s">
        <v>16</v>
      </c>
      <c r="G2596" s="2"/>
      <c r="H2596" s="2"/>
      <c r="I2596" s="2"/>
      <c r="J2596" s="2" t="s">
        <v>19</v>
      </c>
      <c r="K2596" s="2"/>
      <c r="L2596" s="2"/>
    </row>
    <row r="2597" customFormat="false" ht="13.35" hidden="false" customHeight="true" outlineLevel="0" collapsed="false">
      <c r="A2597" s="5" t="str">
        <f aca="false">HYPERLINK("https://www.fabsurplus.com/sdi_catalog/salesItemDetails.do?id=98440")</f>
        <v>https://www.fabsurplus.com/sdi_catalog/salesItemDetails.do?id=98440</v>
      </c>
      <c r="B2597" s="5" t="s">
        <v>6913</v>
      </c>
      <c r="C2597" s="5" t="s">
        <v>6914</v>
      </c>
      <c r="D2597" s="5" t="s">
        <v>6915</v>
      </c>
      <c r="E2597" s="5" t="s">
        <v>6916</v>
      </c>
      <c r="F2597" s="5" t="s">
        <v>16</v>
      </c>
      <c r="G2597" s="5" t="s">
        <v>493</v>
      </c>
      <c r="H2597" s="5"/>
      <c r="I2597" s="5"/>
      <c r="J2597" s="5" t="s">
        <v>19</v>
      </c>
      <c r="K2597" s="5"/>
      <c r="L2597" s="5" t="s">
        <v>893</v>
      </c>
    </row>
    <row r="2598" customFormat="false" ht="13.35" hidden="false" customHeight="true" outlineLevel="0" collapsed="false">
      <c r="A2598" s="2" t="str">
        <f aca="false">HYPERLINK("https://www.fabsurplus.com/sdi_catalog/salesItemDetails.do?id=103181")</f>
        <v>https://www.fabsurplus.com/sdi_catalog/salesItemDetails.do?id=103181</v>
      </c>
      <c r="B2598" s="2" t="s">
        <v>6917</v>
      </c>
      <c r="C2598" s="2" t="s">
        <v>6918</v>
      </c>
      <c r="D2598" s="2" t="s">
        <v>6919</v>
      </c>
      <c r="E2598" s="2" t="s">
        <v>6920</v>
      </c>
      <c r="F2598" s="2" t="s">
        <v>16</v>
      </c>
      <c r="G2598" s="2"/>
      <c r="H2598" s="2"/>
      <c r="I2598" s="2"/>
      <c r="J2598" s="2" t="s">
        <v>47</v>
      </c>
      <c r="K2598" s="2"/>
      <c r="L2598" s="4" t="s">
        <v>6921</v>
      </c>
    </row>
    <row r="2599" customFormat="false" ht="13.35" hidden="false" customHeight="true" outlineLevel="0" collapsed="false">
      <c r="A2599" s="5" t="str">
        <f aca="false">HYPERLINK("https://www.fabsurplus.com/sdi_catalog/salesItemDetails.do?id=100710")</f>
        <v>https://www.fabsurplus.com/sdi_catalog/salesItemDetails.do?id=100710</v>
      </c>
      <c r="B2599" s="5" t="s">
        <v>6922</v>
      </c>
      <c r="C2599" s="5" t="s">
        <v>6923</v>
      </c>
      <c r="D2599" s="5" t="s">
        <v>6924</v>
      </c>
      <c r="E2599" s="5" t="s">
        <v>6925</v>
      </c>
      <c r="F2599" s="5" t="s">
        <v>16</v>
      </c>
      <c r="G2599" s="5" t="s">
        <v>160</v>
      </c>
      <c r="H2599" s="5" t="s">
        <v>18</v>
      </c>
      <c r="I2599" s="5"/>
      <c r="J2599" s="5" t="s">
        <v>19</v>
      </c>
      <c r="K2599" s="5" t="s">
        <v>20</v>
      </c>
      <c r="L2599" s="5" t="s">
        <v>584</v>
      </c>
    </row>
    <row r="2600" customFormat="false" ht="13.35" hidden="false" customHeight="true" outlineLevel="0" collapsed="false">
      <c r="A2600" s="2" t="str">
        <f aca="false">HYPERLINK("https://www.fabsurplus.com/sdi_catalog/salesItemDetails.do?id=103018")</f>
        <v>https://www.fabsurplus.com/sdi_catalog/salesItemDetails.do?id=103018</v>
      </c>
      <c r="B2600" s="2" t="s">
        <v>6926</v>
      </c>
      <c r="C2600" s="2" t="s">
        <v>6927</v>
      </c>
      <c r="D2600" s="2" t="s">
        <v>6928</v>
      </c>
      <c r="E2600" s="2" t="s">
        <v>6929</v>
      </c>
      <c r="F2600" s="2" t="s">
        <v>16</v>
      </c>
      <c r="G2600" s="2" t="s">
        <v>36</v>
      </c>
      <c r="H2600" s="2"/>
      <c r="I2600" s="2"/>
      <c r="J2600" s="2" t="s">
        <v>19</v>
      </c>
      <c r="K2600" s="2"/>
      <c r="L2600" s="4" t="s">
        <v>6930</v>
      </c>
    </row>
    <row r="2601" customFormat="false" ht="13.35" hidden="false" customHeight="true" outlineLevel="0" collapsed="false">
      <c r="A2601" s="5" t="str">
        <f aca="false">HYPERLINK("https://www.fabsurplus.com/sdi_catalog/salesItemDetails.do?id=101822")</f>
        <v>https://www.fabsurplus.com/sdi_catalog/salesItemDetails.do?id=101822</v>
      </c>
      <c r="B2601" s="5" t="s">
        <v>6931</v>
      </c>
      <c r="C2601" s="5" t="s">
        <v>6927</v>
      </c>
      <c r="D2601" s="5" t="s">
        <v>6932</v>
      </c>
      <c r="E2601" s="5" t="s">
        <v>6933</v>
      </c>
      <c r="F2601" s="5" t="s">
        <v>16</v>
      </c>
      <c r="G2601" s="5"/>
      <c r="H2601" s="5" t="s">
        <v>26</v>
      </c>
      <c r="I2601" s="6" t="n">
        <v>38504</v>
      </c>
      <c r="J2601" s="5" t="s">
        <v>47</v>
      </c>
      <c r="K2601" s="5" t="s">
        <v>20</v>
      </c>
      <c r="L2601" s="7" t="s">
        <v>6934</v>
      </c>
    </row>
    <row r="2602" customFormat="false" ht="13.35" hidden="false" customHeight="true" outlineLevel="0" collapsed="false">
      <c r="A2602" s="5" t="str">
        <f aca="false">HYPERLINK("https://www.fabsurplus.com/sdi_catalog/salesItemDetails.do?id=101707")</f>
        <v>https://www.fabsurplus.com/sdi_catalog/salesItemDetails.do?id=101707</v>
      </c>
      <c r="B2602" s="5" t="s">
        <v>6935</v>
      </c>
      <c r="C2602" s="5" t="s">
        <v>6927</v>
      </c>
      <c r="D2602" s="5" t="s">
        <v>6936</v>
      </c>
      <c r="E2602" s="5" t="s">
        <v>6937</v>
      </c>
      <c r="F2602" s="5" t="s">
        <v>16</v>
      </c>
      <c r="G2602" s="5" t="s">
        <v>4879</v>
      </c>
      <c r="H2602" s="5" t="s">
        <v>18</v>
      </c>
      <c r="I2602" s="6" t="n">
        <v>37408</v>
      </c>
      <c r="J2602" s="5" t="s">
        <v>19</v>
      </c>
      <c r="K2602" s="5" t="s">
        <v>20</v>
      </c>
      <c r="L2602" s="7" t="s">
        <v>6938</v>
      </c>
    </row>
    <row r="2603" customFormat="false" ht="13.35" hidden="false" customHeight="true" outlineLevel="0" collapsed="false">
      <c r="A2603" s="5" t="str">
        <f aca="false">HYPERLINK("https://www.fabsurplus.com/sdi_catalog/salesItemDetails.do?id=98048")</f>
        <v>https://www.fabsurplus.com/sdi_catalog/salesItemDetails.do?id=98048</v>
      </c>
      <c r="B2603" s="5" t="s">
        <v>6939</v>
      </c>
      <c r="C2603" s="5" t="s">
        <v>6940</v>
      </c>
      <c r="D2603" s="5" t="s">
        <v>6941</v>
      </c>
      <c r="E2603" s="5" t="s">
        <v>6942</v>
      </c>
      <c r="F2603" s="5" t="s">
        <v>16</v>
      </c>
      <c r="G2603" s="5" t="s">
        <v>493</v>
      </c>
      <c r="H2603" s="5"/>
      <c r="I2603" s="5"/>
      <c r="J2603" s="5" t="s">
        <v>19</v>
      </c>
      <c r="K2603" s="5"/>
      <c r="L2603" s="5"/>
    </row>
    <row r="2604" customFormat="false" ht="13.35" hidden="false" customHeight="true" outlineLevel="0" collapsed="false">
      <c r="A2604" s="2" t="str">
        <f aca="false">HYPERLINK("https://www.fabsurplus.com/sdi_catalog/salesItemDetails.do?id=98049")</f>
        <v>https://www.fabsurplus.com/sdi_catalog/salesItemDetails.do?id=98049</v>
      </c>
      <c r="B2604" s="2" t="s">
        <v>6943</v>
      </c>
      <c r="C2604" s="2" t="s">
        <v>6940</v>
      </c>
      <c r="D2604" s="2" t="s">
        <v>6941</v>
      </c>
      <c r="E2604" s="2" t="s">
        <v>6942</v>
      </c>
      <c r="F2604" s="2" t="s">
        <v>16</v>
      </c>
      <c r="G2604" s="2" t="s">
        <v>36</v>
      </c>
      <c r="H2604" s="2"/>
      <c r="I2604" s="2"/>
      <c r="J2604" s="2" t="s">
        <v>19</v>
      </c>
      <c r="K2604" s="2"/>
      <c r="L2604" s="2"/>
    </row>
    <row r="2605" customFormat="false" ht="13.35" hidden="false" customHeight="true" outlineLevel="0" collapsed="false">
      <c r="A2605" s="2" t="str">
        <f aca="false">HYPERLINK("https://www.fabsurplus.com/sdi_catalog/salesItemDetails.do?id=102642")</f>
        <v>https://www.fabsurplus.com/sdi_catalog/salesItemDetails.do?id=102642</v>
      </c>
      <c r="B2605" s="2" t="s">
        <v>6944</v>
      </c>
      <c r="C2605" s="2" t="s">
        <v>6945</v>
      </c>
      <c r="D2605" s="2" t="s">
        <v>6946</v>
      </c>
      <c r="E2605" s="2" t="s">
        <v>6947</v>
      </c>
      <c r="F2605" s="2" t="s">
        <v>16</v>
      </c>
      <c r="G2605" s="2" t="s">
        <v>1686</v>
      </c>
      <c r="H2605" s="2" t="s">
        <v>26</v>
      </c>
      <c r="I2605" s="3" t="n">
        <v>36678</v>
      </c>
      <c r="J2605" s="2" t="s">
        <v>47</v>
      </c>
      <c r="K2605" s="2" t="s">
        <v>20</v>
      </c>
      <c r="L2605" s="4" t="s">
        <v>6948</v>
      </c>
    </row>
    <row r="2606" customFormat="false" ht="13.35" hidden="false" customHeight="true" outlineLevel="0" collapsed="false">
      <c r="A2606" s="2" t="str">
        <f aca="false">HYPERLINK("https://www.fabsurplus.com/sdi_catalog/salesItemDetails.do?id=33773")</f>
        <v>https://www.fabsurplus.com/sdi_catalog/salesItemDetails.do?id=33773</v>
      </c>
      <c r="B2606" s="2" t="s">
        <v>6949</v>
      </c>
      <c r="C2606" s="2" t="s">
        <v>6950</v>
      </c>
      <c r="D2606" s="2" t="s">
        <v>6951</v>
      </c>
      <c r="E2606" s="2" t="s">
        <v>6952</v>
      </c>
      <c r="F2606" s="2" t="s">
        <v>16</v>
      </c>
      <c r="G2606" s="2"/>
      <c r="H2606" s="2" t="s">
        <v>26</v>
      </c>
      <c r="I2606" s="2"/>
      <c r="J2606" s="2" t="s">
        <v>19</v>
      </c>
      <c r="K2606" s="2" t="s">
        <v>20</v>
      </c>
      <c r="L2606" s="4" t="s">
        <v>6953</v>
      </c>
    </row>
    <row r="2607" customFormat="false" ht="13.35" hidden="false" customHeight="true" outlineLevel="0" collapsed="false">
      <c r="A2607" s="5" t="str">
        <f aca="false">HYPERLINK("https://www.fabsurplus.com/sdi_catalog/salesItemDetails.do?id=102831")</f>
        <v>https://www.fabsurplus.com/sdi_catalog/salesItemDetails.do?id=102831</v>
      </c>
      <c r="B2607" s="5" t="s">
        <v>6954</v>
      </c>
      <c r="C2607" s="5" t="s">
        <v>6955</v>
      </c>
      <c r="D2607" s="5" t="s">
        <v>6956</v>
      </c>
      <c r="E2607" s="5" t="s">
        <v>6957</v>
      </c>
      <c r="F2607" s="5" t="s">
        <v>16</v>
      </c>
      <c r="G2607" s="5" t="s">
        <v>17</v>
      </c>
      <c r="H2607" s="5"/>
      <c r="I2607" s="6" t="n">
        <v>41791</v>
      </c>
      <c r="J2607" s="5" t="s">
        <v>19</v>
      </c>
      <c r="K2607" s="5"/>
      <c r="L2607" s="7" t="s">
        <v>6958</v>
      </c>
    </row>
    <row r="2608" customFormat="false" ht="13.35" hidden="false" customHeight="true" outlineLevel="0" collapsed="false">
      <c r="A2608" s="2" t="str">
        <f aca="false">HYPERLINK("https://www.fabsurplus.com/sdi_catalog/salesItemDetails.do?id=103019")</f>
        <v>https://www.fabsurplus.com/sdi_catalog/salesItemDetails.do?id=103019</v>
      </c>
      <c r="B2608" s="2" t="s">
        <v>6959</v>
      </c>
      <c r="C2608" s="2" t="s">
        <v>6960</v>
      </c>
      <c r="D2608" s="2" t="s">
        <v>6961</v>
      </c>
      <c r="E2608" s="2" t="s">
        <v>6962</v>
      </c>
      <c r="F2608" s="2" t="s">
        <v>16</v>
      </c>
      <c r="G2608" s="2"/>
      <c r="H2608" s="2"/>
      <c r="I2608" s="2"/>
      <c r="J2608" s="2" t="s">
        <v>19</v>
      </c>
      <c r="K2608" s="2"/>
      <c r="L2608" s="2"/>
    </row>
    <row r="2609" customFormat="false" ht="13.35" hidden="false" customHeight="true" outlineLevel="0" collapsed="false">
      <c r="A2609" s="5" t="str">
        <f aca="false">HYPERLINK("https://www.fabsurplus.com/sdi_catalog/salesItemDetails.do?id=101701")</f>
        <v>https://www.fabsurplus.com/sdi_catalog/salesItemDetails.do?id=101701</v>
      </c>
      <c r="B2609" s="5" t="s">
        <v>6963</v>
      </c>
      <c r="C2609" s="5" t="s">
        <v>6964</v>
      </c>
      <c r="D2609" s="5" t="s">
        <v>6965</v>
      </c>
      <c r="E2609" s="5" t="s">
        <v>6966</v>
      </c>
      <c r="F2609" s="5" t="s">
        <v>16</v>
      </c>
      <c r="G2609" s="5" t="s">
        <v>493</v>
      </c>
      <c r="H2609" s="5" t="s">
        <v>26</v>
      </c>
      <c r="I2609" s="5"/>
      <c r="J2609" s="5" t="s">
        <v>19</v>
      </c>
      <c r="K2609" s="5" t="s">
        <v>20</v>
      </c>
      <c r="L2609" s="5"/>
    </row>
    <row r="2610" customFormat="false" ht="13.35" hidden="false" customHeight="true" outlineLevel="0" collapsed="false">
      <c r="A2610" s="2" t="str">
        <f aca="false">HYPERLINK("https://www.fabsurplus.com/sdi_catalog/salesItemDetails.do?id=99404")</f>
        <v>https://www.fabsurplus.com/sdi_catalog/salesItemDetails.do?id=99404</v>
      </c>
      <c r="B2610" s="2" t="s">
        <v>6967</v>
      </c>
      <c r="C2610" s="2" t="s">
        <v>6960</v>
      </c>
      <c r="D2610" s="2" t="s">
        <v>6968</v>
      </c>
      <c r="E2610" s="2" t="s">
        <v>6969</v>
      </c>
      <c r="F2610" s="2" t="s">
        <v>16</v>
      </c>
      <c r="G2610" s="2" t="s">
        <v>149</v>
      </c>
      <c r="H2610" s="2" t="s">
        <v>26</v>
      </c>
      <c r="I2610" s="2"/>
      <c r="J2610" s="2" t="s">
        <v>19</v>
      </c>
      <c r="K2610" s="2" t="s">
        <v>20</v>
      </c>
      <c r="L2610" s="4" t="s">
        <v>6970</v>
      </c>
    </row>
    <row r="2611" customFormat="false" ht="13.35" hidden="false" customHeight="true" outlineLevel="0" collapsed="false">
      <c r="A2611" s="5" t="str">
        <f aca="false">HYPERLINK("https://www.fabsurplus.com/sdi_catalog/salesItemDetails.do?id=90168")</f>
        <v>https://www.fabsurplus.com/sdi_catalog/salesItemDetails.do?id=90168</v>
      </c>
      <c r="B2611" s="5" t="s">
        <v>6971</v>
      </c>
      <c r="C2611" s="5" t="s">
        <v>6964</v>
      </c>
      <c r="D2611" s="5" t="s">
        <v>6972</v>
      </c>
      <c r="E2611" s="5" t="s">
        <v>6973</v>
      </c>
      <c r="F2611" s="5" t="s">
        <v>16</v>
      </c>
      <c r="G2611" s="5" t="s">
        <v>138</v>
      </c>
      <c r="H2611" s="5"/>
      <c r="I2611" s="5"/>
      <c r="J2611" s="5" t="s">
        <v>19</v>
      </c>
      <c r="K2611" s="5"/>
      <c r="L2611" s="5" t="s">
        <v>2498</v>
      </c>
    </row>
    <row r="2612" customFormat="false" ht="13.35" hidden="false" customHeight="true" outlineLevel="0" collapsed="false">
      <c r="A2612" s="5" t="str">
        <f aca="false">HYPERLINK("https://www.fabsurplus.com/sdi_catalog/salesItemDetails.do?id=55906")</f>
        <v>https://www.fabsurplus.com/sdi_catalog/salesItemDetails.do?id=55906</v>
      </c>
      <c r="B2612" s="5" t="s">
        <v>6974</v>
      </c>
      <c r="C2612" s="5" t="s">
        <v>6964</v>
      </c>
      <c r="D2612" s="5" t="s">
        <v>6975</v>
      </c>
      <c r="E2612" s="5" t="s">
        <v>570</v>
      </c>
      <c r="F2612" s="5" t="s">
        <v>16</v>
      </c>
      <c r="G2612" s="5"/>
      <c r="H2612" s="5"/>
      <c r="I2612" s="5"/>
      <c r="J2612" s="5" t="s">
        <v>19</v>
      </c>
      <c r="K2612" s="5"/>
      <c r="L2612" s="7" t="s">
        <v>6976</v>
      </c>
    </row>
    <row r="2613" customFormat="false" ht="13.35" hidden="false" customHeight="true" outlineLevel="0" collapsed="false">
      <c r="A2613" s="2" t="str">
        <f aca="false">HYPERLINK("https://www.fabsurplus.com/sdi_catalog/salesItemDetails.do?id=90169")</f>
        <v>https://www.fabsurplus.com/sdi_catalog/salesItemDetails.do?id=90169</v>
      </c>
      <c r="B2613" s="2" t="s">
        <v>6977</v>
      </c>
      <c r="C2613" s="2" t="s">
        <v>6964</v>
      </c>
      <c r="D2613" s="2" t="s">
        <v>6978</v>
      </c>
      <c r="E2613" s="2" t="s">
        <v>5252</v>
      </c>
      <c r="F2613" s="2" t="s">
        <v>16</v>
      </c>
      <c r="G2613" s="2" t="s">
        <v>138</v>
      </c>
      <c r="H2613" s="2"/>
      <c r="I2613" s="2"/>
      <c r="J2613" s="2" t="s">
        <v>19</v>
      </c>
      <c r="K2613" s="2"/>
      <c r="L2613" s="2" t="s">
        <v>2498</v>
      </c>
    </row>
    <row r="2614" customFormat="false" ht="13.35" hidden="false" customHeight="true" outlineLevel="0" collapsed="false">
      <c r="A2614" s="5" t="str">
        <f aca="false">HYPERLINK("https://www.fabsurplus.com/sdi_catalog/salesItemDetails.do?id=33812")</f>
        <v>https://www.fabsurplus.com/sdi_catalog/salesItemDetails.do?id=33812</v>
      </c>
      <c r="B2614" s="5" t="s">
        <v>6979</v>
      </c>
      <c r="C2614" s="5" t="s">
        <v>6964</v>
      </c>
      <c r="D2614" s="5" t="s">
        <v>6980</v>
      </c>
      <c r="E2614" s="5" t="s">
        <v>6981</v>
      </c>
      <c r="F2614" s="5" t="s">
        <v>16</v>
      </c>
      <c r="G2614" s="5"/>
      <c r="H2614" s="5"/>
      <c r="I2614" s="5"/>
      <c r="J2614" s="5" t="s">
        <v>47</v>
      </c>
      <c r="K2614" s="5"/>
      <c r="L2614" s="5" t="s">
        <v>6981</v>
      </c>
    </row>
    <row r="2615" customFormat="false" ht="13.35" hidden="false" customHeight="true" outlineLevel="0" collapsed="false">
      <c r="A2615" s="2" t="str">
        <f aca="false">HYPERLINK("https://www.fabsurplus.com/sdi_catalog/salesItemDetails.do?id=90164")</f>
        <v>https://www.fabsurplus.com/sdi_catalog/salesItemDetails.do?id=90164</v>
      </c>
      <c r="B2615" s="2" t="s">
        <v>6982</v>
      </c>
      <c r="C2615" s="2" t="s">
        <v>6964</v>
      </c>
      <c r="D2615" s="2" t="s">
        <v>6983</v>
      </c>
      <c r="E2615" s="2" t="s">
        <v>4284</v>
      </c>
      <c r="F2615" s="2" t="s">
        <v>58</v>
      </c>
      <c r="G2615" s="2" t="s">
        <v>138</v>
      </c>
      <c r="H2615" s="2"/>
      <c r="I2615" s="2"/>
      <c r="J2615" s="2" t="s">
        <v>19</v>
      </c>
      <c r="K2615" s="2"/>
      <c r="L2615" s="2" t="s">
        <v>2498</v>
      </c>
    </row>
    <row r="2616" customFormat="false" ht="13.35" hidden="false" customHeight="true" outlineLevel="0" collapsed="false">
      <c r="A2616" s="2" t="str">
        <f aca="false">HYPERLINK("https://www.fabsurplus.com/sdi_catalog/salesItemDetails.do?id=90167")</f>
        <v>https://www.fabsurplus.com/sdi_catalog/salesItemDetails.do?id=90167</v>
      </c>
      <c r="B2616" s="2" t="s">
        <v>6984</v>
      </c>
      <c r="C2616" s="2" t="s">
        <v>6964</v>
      </c>
      <c r="D2616" s="2" t="s">
        <v>6985</v>
      </c>
      <c r="E2616" s="2" t="s">
        <v>4284</v>
      </c>
      <c r="F2616" s="2" t="s">
        <v>16</v>
      </c>
      <c r="G2616" s="2" t="s">
        <v>138</v>
      </c>
      <c r="H2616" s="2"/>
      <c r="I2616" s="2"/>
      <c r="J2616" s="2" t="s">
        <v>19</v>
      </c>
      <c r="K2616" s="2"/>
      <c r="L2616" s="2" t="s">
        <v>2498</v>
      </c>
    </row>
    <row r="2617" customFormat="false" ht="13.35" hidden="false" customHeight="true" outlineLevel="0" collapsed="false">
      <c r="A2617" s="2" t="str">
        <f aca="false">HYPERLINK("https://www.fabsurplus.com/sdi_catalog/salesItemDetails.do?id=90165")</f>
        <v>https://www.fabsurplus.com/sdi_catalog/salesItemDetails.do?id=90165</v>
      </c>
      <c r="B2617" s="2" t="s">
        <v>6986</v>
      </c>
      <c r="C2617" s="2" t="s">
        <v>6964</v>
      </c>
      <c r="D2617" s="2" t="s">
        <v>6987</v>
      </c>
      <c r="E2617" s="2" t="s">
        <v>4284</v>
      </c>
      <c r="F2617" s="2" t="s">
        <v>16</v>
      </c>
      <c r="G2617" s="2" t="s">
        <v>138</v>
      </c>
      <c r="H2617" s="2"/>
      <c r="I2617" s="2"/>
      <c r="J2617" s="2" t="s">
        <v>19</v>
      </c>
      <c r="K2617" s="2"/>
      <c r="L2617" s="2" t="s">
        <v>2498</v>
      </c>
    </row>
    <row r="2618" customFormat="false" ht="13.35" hidden="false" customHeight="true" outlineLevel="0" collapsed="false">
      <c r="A2618" s="5" t="str">
        <f aca="false">HYPERLINK("https://www.fabsurplus.com/sdi_catalog/salesItemDetails.do?id=90166")</f>
        <v>https://www.fabsurplus.com/sdi_catalog/salesItemDetails.do?id=90166</v>
      </c>
      <c r="B2618" s="5" t="s">
        <v>6988</v>
      </c>
      <c r="C2618" s="5" t="s">
        <v>6964</v>
      </c>
      <c r="D2618" s="5" t="s">
        <v>6989</v>
      </c>
      <c r="E2618" s="5" t="s">
        <v>4284</v>
      </c>
      <c r="F2618" s="5" t="s">
        <v>51</v>
      </c>
      <c r="G2618" s="5" t="s">
        <v>138</v>
      </c>
      <c r="H2618" s="5"/>
      <c r="I2618" s="5"/>
      <c r="J2618" s="5" t="s">
        <v>19</v>
      </c>
      <c r="K2618" s="5"/>
      <c r="L2618" s="5" t="s">
        <v>2498</v>
      </c>
    </row>
    <row r="2619" customFormat="false" ht="13.35" hidden="false" customHeight="true" outlineLevel="0" collapsed="false">
      <c r="A2619" s="5" t="str">
        <f aca="false">HYPERLINK("https://www.fabsurplus.com/sdi_catalog/salesItemDetails.do?id=90163")</f>
        <v>https://www.fabsurplus.com/sdi_catalog/salesItemDetails.do?id=90163</v>
      </c>
      <c r="B2619" s="5" t="s">
        <v>6990</v>
      </c>
      <c r="C2619" s="5" t="s">
        <v>6964</v>
      </c>
      <c r="D2619" s="5" t="s">
        <v>6991</v>
      </c>
      <c r="E2619" s="5" t="s">
        <v>4284</v>
      </c>
      <c r="F2619" s="5" t="s">
        <v>16</v>
      </c>
      <c r="G2619" s="5" t="s">
        <v>138</v>
      </c>
      <c r="H2619" s="5"/>
      <c r="I2619" s="5"/>
      <c r="J2619" s="5" t="s">
        <v>19</v>
      </c>
      <c r="K2619" s="5"/>
      <c r="L2619" s="5" t="s">
        <v>2498</v>
      </c>
    </row>
    <row r="2620" customFormat="false" ht="13.35" hidden="false" customHeight="true" outlineLevel="0" collapsed="false">
      <c r="A2620" s="5" t="str">
        <f aca="false">HYPERLINK("https://www.fabsurplus.com/sdi_catalog/salesItemDetails.do?id=102633")</f>
        <v>https://www.fabsurplus.com/sdi_catalog/salesItemDetails.do?id=102633</v>
      </c>
      <c r="B2620" s="5" t="s">
        <v>6992</v>
      </c>
      <c r="C2620" s="5" t="s">
        <v>6960</v>
      </c>
      <c r="D2620" s="5" t="s">
        <v>6993</v>
      </c>
      <c r="E2620" s="5" t="s">
        <v>6994</v>
      </c>
      <c r="F2620" s="5" t="s">
        <v>16</v>
      </c>
      <c r="G2620" s="5" t="s">
        <v>17</v>
      </c>
      <c r="H2620" s="5" t="s">
        <v>26</v>
      </c>
      <c r="I2620" s="6" t="n">
        <v>38169</v>
      </c>
      <c r="J2620" s="5" t="s">
        <v>19</v>
      </c>
      <c r="K2620" s="5" t="s">
        <v>20</v>
      </c>
      <c r="L2620" s="7" t="s">
        <v>6995</v>
      </c>
    </row>
    <row r="2621" customFormat="false" ht="13.35" hidden="false" customHeight="true" outlineLevel="0" collapsed="false">
      <c r="A2621" s="5" t="str">
        <f aca="false">HYPERLINK("https://www.fabsurplus.com/sdi_catalog/salesItemDetails.do?id=102460")</f>
        <v>https://www.fabsurplus.com/sdi_catalog/salesItemDetails.do?id=102460</v>
      </c>
      <c r="B2621" s="5" t="s">
        <v>6996</v>
      </c>
      <c r="C2621" s="5" t="s">
        <v>6960</v>
      </c>
      <c r="D2621" s="5" t="s">
        <v>6997</v>
      </c>
      <c r="E2621" s="5" t="s">
        <v>1590</v>
      </c>
      <c r="F2621" s="5" t="s">
        <v>16</v>
      </c>
      <c r="G2621" s="5" t="s">
        <v>17</v>
      </c>
      <c r="H2621" s="5"/>
      <c r="I2621" s="6" t="n">
        <v>38504</v>
      </c>
      <c r="J2621" s="5" t="s">
        <v>19</v>
      </c>
      <c r="K2621" s="5"/>
      <c r="L2621" s="5"/>
    </row>
    <row r="2622" customFormat="false" ht="13.35" hidden="false" customHeight="true" outlineLevel="0" collapsed="false">
      <c r="A2622" s="5" t="str">
        <f aca="false">HYPERLINK("https://www.fabsurplus.com/sdi_catalog/salesItemDetails.do?id=102832")</f>
        <v>https://www.fabsurplus.com/sdi_catalog/salesItemDetails.do?id=102832</v>
      </c>
      <c r="B2622" s="5" t="s">
        <v>6998</v>
      </c>
      <c r="C2622" s="5" t="s">
        <v>6960</v>
      </c>
      <c r="D2622" s="5" t="s">
        <v>6999</v>
      </c>
      <c r="E2622" s="5" t="s">
        <v>7000</v>
      </c>
      <c r="F2622" s="5" t="s">
        <v>16</v>
      </c>
      <c r="G2622" s="5" t="s">
        <v>17</v>
      </c>
      <c r="H2622" s="5"/>
      <c r="I2622" s="5"/>
      <c r="J2622" s="5" t="s">
        <v>19</v>
      </c>
      <c r="K2622" s="5"/>
      <c r="L2622" s="5" t="s">
        <v>7001</v>
      </c>
    </row>
    <row r="2623" customFormat="false" ht="13.35" hidden="false" customHeight="true" outlineLevel="0" collapsed="false">
      <c r="A2623" s="5" t="str">
        <f aca="false">HYPERLINK("https://www.fabsurplus.com/sdi_catalog/salesItemDetails.do?id=102593")</f>
        <v>https://www.fabsurplus.com/sdi_catalog/salesItemDetails.do?id=102593</v>
      </c>
      <c r="B2623" s="5" t="s">
        <v>7002</v>
      </c>
      <c r="C2623" s="5" t="s">
        <v>321</v>
      </c>
      <c r="D2623" s="5" t="s">
        <v>7003</v>
      </c>
      <c r="E2623" s="5" t="s">
        <v>7004</v>
      </c>
      <c r="F2623" s="5" t="s">
        <v>176</v>
      </c>
      <c r="G2623" s="5"/>
      <c r="H2623" s="5" t="s">
        <v>26</v>
      </c>
      <c r="I2623" s="5"/>
      <c r="J2623" s="5" t="s">
        <v>47</v>
      </c>
      <c r="K2623" s="5" t="s">
        <v>20</v>
      </c>
      <c r="L2623" s="7" t="s">
        <v>7005</v>
      </c>
    </row>
    <row r="2624" customFormat="false" ht="13.35" hidden="false" customHeight="true" outlineLevel="0" collapsed="false">
      <c r="A2624" s="5" t="str">
        <f aca="false">HYPERLINK("https://www.fabsurplus.com/sdi_catalog/salesItemDetails.do?id=101676")</f>
        <v>https://www.fabsurplus.com/sdi_catalog/salesItemDetails.do?id=101676</v>
      </c>
      <c r="B2624" s="5" t="s">
        <v>7006</v>
      </c>
      <c r="C2624" s="5" t="s">
        <v>7007</v>
      </c>
      <c r="D2624" s="5" t="s">
        <v>7008</v>
      </c>
      <c r="E2624" s="5" t="s">
        <v>7009</v>
      </c>
      <c r="F2624" s="5" t="s">
        <v>16</v>
      </c>
      <c r="G2624" s="5" t="s">
        <v>154</v>
      </c>
      <c r="H2624" s="5"/>
      <c r="I2624" s="5"/>
      <c r="J2624" s="5" t="s">
        <v>19</v>
      </c>
      <c r="K2624" s="5"/>
      <c r="L2624" s="5"/>
    </row>
    <row r="2625" customFormat="false" ht="13.35" hidden="false" customHeight="true" outlineLevel="0" collapsed="false">
      <c r="A2625" s="5" t="str">
        <f aca="false">HYPERLINK("https://www.fabsurplus.com/sdi_catalog/salesItemDetails.do?id=103182")</f>
        <v>https://www.fabsurplus.com/sdi_catalog/salesItemDetails.do?id=103182</v>
      </c>
      <c r="B2625" s="5" t="s">
        <v>7010</v>
      </c>
      <c r="C2625" s="5" t="s">
        <v>7011</v>
      </c>
      <c r="D2625" s="5" t="s">
        <v>7012</v>
      </c>
      <c r="E2625" s="5" t="s">
        <v>3230</v>
      </c>
      <c r="F2625" s="5" t="s">
        <v>16</v>
      </c>
      <c r="G2625" s="5" t="s">
        <v>493</v>
      </c>
      <c r="H2625" s="5"/>
      <c r="I2625" s="6" t="n">
        <v>42887</v>
      </c>
      <c r="J2625" s="5" t="s">
        <v>47</v>
      </c>
      <c r="K2625" s="5"/>
      <c r="L2625" s="7" t="s">
        <v>7013</v>
      </c>
    </row>
    <row r="2626" customFormat="false" ht="13.35" hidden="false" customHeight="true" outlineLevel="0" collapsed="false">
      <c r="A2626" s="5" t="str">
        <f aca="false">HYPERLINK("https://www.fabsurplus.com/sdi_catalog/salesItemDetails.do?id=103136")</f>
        <v>https://www.fabsurplus.com/sdi_catalog/salesItemDetails.do?id=103136</v>
      </c>
      <c r="B2626" s="5" t="s">
        <v>7014</v>
      </c>
      <c r="C2626" s="5" t="s">
        <v>7011</v>
      </c>
      <c r="D2626" s="5" t="s">
        <v>7015</v>
      </c>
      <c r="E2626" s="5" t="s">
        <v>7016</v>
      </c>
      <c r="F2626" s="5" t="s">
        <v>16</v>
      </c>
      <c r="G2626" s="5" t="s">
        <v>658</v>
      </c>
      <c r="H2626" s="5"/>
      <c r="I2626" s="6" t="n">
        <v>37773</v>
      </c>
      <c r="J2626" s="5" t="s">
        <v>19</v>
      </c>
      <c r="K2626" s="5"/>
      <c r="L2626" s="7" t="s">
        <v>7017</v>
      </c>
    </row>
    <row r="2627" customFormat="false" ht="13.35" hidden="false" customHeight="true" outlineLevel="0" collapsed="false">
      <c r="A2627" s="5" t="str">
        <f aca="false">HYPERLINK("https://www.fabsurplus.com/sdi_catalog/salesItemDetails.do?id=102461")</f>
        <v>https://www.fabsurplus.com/sdi_catalog/salesItemDetails.do?id=102461</v>
      </c>
      <c r="B2627" s="5" t="s">
        <v>7018</v>
      </c>
      <c r="C2627" s="5" t="s">
        <v>7011</v>
      </c>
      <c r="D2627" s="5" t="s">
        <v>7019</v>
      </c>
      <c r="E2627" s="5" t="s">
        <v>7020</v>
      </c>
      <c r="F2627" s="5" t="s">
        <v>16</v>
      </c>
      <c r="G2627" s="5" t="s">
        <v>17</v>
      </c>
      <c r="H2627" s="5"/>
      <c r="I2627" s="6" t="n">
        <v>38139</v>
      </c>
      <c r="J2627" s="5" t="s">
        <v>19</v>
      </c>
      <c r="K2627" s="5"/>
      <c r="L2627" s="5"/>
    </row>
    <row r="2628" customFormat="false" ht="13.35" hidden="false" customHeight="true" outlineLevel="0" collapsed="false">
      <c r="A2628" s="2" t="str">
        <f aca="false">HYPERLINK("https://www.fabsurplus.com/sdi_catalog/salesItemDetails.do?id=102462")</f>
        <v>https://www.fabsurplus.com/sdi_catalog/salesItemDetails.do?id=102462</v>
      </c>
      <c r="B2628" s="2" t="s">
        <v>7021</v>
      </c>
      <c r="C2628" s="2" t="s">
        <v>7011</v>
      </c>
      <c r="D2628" s="2" t="s">
        <v>7022</v>
      </c>
      <c r="E2628" s="2" t="s">
        <v>7023</v>
      </c>
      <c r="F2628" s="2" t="s">
        <v>16</v>
      </c>
      <c r="G2628" s="2" t="s">
        <v>17</v>
      </c>
      <c r="H2628" s="2"/>
      <c r="I2628" s="3" t="n">
        <v>38139</v>
      </c>
      <c r="J2628" s="2" t="s">
        <v>19</v>
      </c>
      <c r="K2628" s="2"/>
      <c r="L2628" s="2"/>
    </row>
    <row r="2629" customFormat="false" ht="13.35" hidden="false" customHeight="true" outlineLevel="0" collapsed="false">
      <c r="A2629" s="5" t="str">
        <f aca="false">HYPERLINK("https://www.fabsurplus.com/sdi_catalog/salesItemDetails.do?id=102463")</f>
        <v>https://www.fabsurplus.com/sdi_catalog/salesItemDetails.do?id=102463</v>
      </c>
      <c r="B2629" s="5" t="s">
        <v>7024</v>
      </c>
      <c r="C2629" s="5" t="s">
        <v>7011</v>
      </c>
      <c r="D2629" s="5" t="s">
        <v>7022</v>
      </c>
      <c r="E2629" s="5" t="s">
        <v>7020</v>
      </c>
      <c r="F2629" s="5" t="s">
        <v>16</v>
      </c>
      <c r="G2629" s="5" t="s">
        <v>17</v>
      </c>
      <c r="H2629" s="5"/>
      <c r="I2629" s="6" t="n">
        <v>38869</v>
      </c>
      <c r="J2629" s="5" t="s">
        <v>19</v>
      </c>
      <c r="K2629" s="5"/>
      <c r="L2629" s="5"/>
    </row>
    <row r="2630" customFormat="false" ht="13.35" hidden="false" customHeight="true" outlineLevel="0" collapsed="false">
      <c r="A2630" s="2" t="str">
        <f aca="false">HYPERLINK("https://www.fabsurplus.com/sdi_catalog/salesItemDetails.do?id=56842")</f>
        <v>https://www.fabsurplus.com/sdi_catalog/salesItemDetails.do?id=56842</v>
      </c>
      <c r="B2630" s="2" t="s">
        <v>7025</v>
      </c>
      <c r="C2630" s="2" t="s">
        <v>7026</v>
      </c>
      <c r="D2630" s="2" t="s">
        <v>7027</v>
      </c>
      <c r="E2630" s="2" t="s">
        <v>7028</v>
      </c>
      <c r="F2630" s="2" t="s">
        <v>16</v>
      </c>
      <c r="G2630" s="2"/>
      <c r="H2630" s="2"/>
      <c r="I2630" s="2"/>
      <c r="J2630" s="2" t="s">
        <v>19</v>
      </c>
      <c r="K2630" s="2"/>
      <c r="L2630" s="2"/>
    </row>
    <row r="2631" customFormat="false" ht="13.35" hidden="false" customHeight="true" outlineLevel="0" collapsed="false">
      <c r="A2631" s="2" t="str">
        <f aca="false">HYPERLINK("https://www.fabsurplus.com/sdi_catalog/salesItemDetails.do?id=102464")</f>
        <v>https://www.fabsurplus.com/sdi_catalog/salesItemDetails.do?id=102464</v>
      </c>
      <c r="B2631" s="2" t="s">
        <v>7029</v>
      </c>
      <c r="C2631" s="2" t="s">
        <v>7011</v>
      </c>
      <c r="D2631" s="2" t="s">
        <v>7030</v>
      </c>
      <c r="E2631" s="2" t="s">
        <v>7031</v>
      </c>
      <c r="F2631" s="2" t="s">
        <v>16</v>
      </c>
      <c r="G2631" s="2"/>
      <c r="H2631" s="2"/>
      <c r="I2631" s="3" t="n">
        <v>40330</v>
      </c>
      <c r="J2631" s="2" t="s">
        <v>19</v>
      </c>
      <c r="K2631" s="2"/>
      <c r="L2631" s="2"/>
    </row>
    <row r="2632" customFormat="false" ht="13.35" hidden="false" customHeight="true" outlineLevel="0" collapsed="false">
      <c r="A2632" s="5" t="str">
        <f aca="false">HYPERLINK("https://www.fabsurplus.com/sdi_catalog/salesItemDetails.do?id=102465")</f>
        <v>https://www.fabsurplus.com/sdi_catalog/salesItemDetails.do?id=102465</v>
      </c>
      <c r="B2632" s="5" t="s">
        <v>7032</v>
      </c>
      <c r="C2632" s="5" t="s">
        <v>7011</v>
      </c>
      <c r="D2632" s="5" t="s">
        <v>7033</v>
      </c>
      <c r="E2632" s="5" t="s">
        <v>7034</v>
      </c>
      <c r="F2632" s="5" t="s">
        <v>16</v>
      </c>
      <c r="G2632" s="5"/>
      <c r="H2632" s="5"/>
      <c r="I2632" s="5"/>
      <c r="J2632" s="5" t="s">
        <v>19</v>
      </c>
      <c r="K2632" s="5"/>
      <c r="L2632" s="5"/>
    </row>
    <row r="2633" customFormat="false" ht="13.35" hidden="false" customHeight="true" outlineLevel="0" collapsed="false">
      <c r="A2633" s="5" t="str">
        <f aca="false">HYPERLINK("https://www.fabsurplus.com/sdi_catalog/salesItemDetails.do?id=98863")</f>
        <v>https://www.fabsurplus.com/sdi_catalog/salesItemDetails.do?id=98863</v>
      </c>
      <c r="B2633" s="5" t="s">
        <v>7035</v>
      </c>
      <c r="C2633" s="5" t="s">
        <v>7011</v>
      </c>
      <c r="D2633" s="5" t="s">
        <v>7036</v>
      </c>
      <c r="E2633" s="5" t="s">
        <v>7037</v>
      </c>
      <c r="F2633" s="5" t="s">
        <v>16</v>
      </c>
      <c r="G2633" s="5"/>
      <c r="H2633" s="5" t="s">
        <v>18</v>
      </c>
      <c r="I2633" s="5"/>
      <c r="J2633" s="5" t="s">
        <v>19</v>
      </c>
      <c r="K2633" s="5" t="s">
        <v>20</v>
      </c>
      <c r="L2633" s="7" t="s">
        <v>7038</v>
      </c>
    </row>
    <row r="2634" customFormat="false" ht="13.35" hidden="false" customHeight="true" outlineLevel="0" collapsed="false">
      <c r="A2634" s="5" t="str">
        <f aca="false">HYPERLINK("https://www.fabsurplus.com/sdi_catalog/salesItemDetails.do?id=99388")</f>
        <v>https://www.fabsurplus.com/sdi_catalog/salesItemDetails.do?id=99388</v>
      </c>
      <c r="B2634" s="5" t="s">
        <v>7039</v>
      </c>
      <c r="C2634" s="5" t="s">
        <v>7040</v>
      </c>
      <c r="D2634" s="5" t="s">
        <v>7041</v>
      </c>
      <c r="E2634" s="5" t="s">
        <v>233</v>
      </c>
      <c r="F2634" s="5" t="s">
        <v>16</v>
      </c>
      <c r="G2634" s="5" t="s">
        <v>181</v>
      </c>
      <c r="H2634" s="5" t="s">
        <v>26</v>
      </c>
      <c r="I2634" s="5"/>
      <c r="J2634" s="5" t="s">
        <v>19</v>
      </c>
      <c r="K2634" s="5" t="s">
        <v>20</v>
      </c>
      <c r="L2634" s="7" t="s">
        <v>7042</v>
      </c>
    </row>
    <row r="2635" customFormat="false" ht="13.35" hidden="false" customHeight="true" outlineLevel="0" collapsed="false">
      <c r="A2635" s="2" t="str">
        <f aca="false">HYPERLINK("https://www.fabsurplus.com/sdi_catalog/salesItemDetails.do?id=99389")</f>
        <v>https://www.fabsurplus.com/sdi_catalog/salesItemDetails.do?id=99389</v>
      </c>
      <c r="B2635" s="2" t="s">
        <v>7043</v>
      </c>
      <c r="C2635" s="2" t="s">
        <v>7040</v>
      </c>
      <c r="D2635" s="2" t="s">
        <v>7041</v>
      </c>
      <c r="E2635" s="2" t="s">
        <v>233</v>
      </c>
      <c r="F2635" s="2" t="s">
        <v>16</v>
      </c>
      <c r="G2635" s="2" t="s">
        <v>181</v>
      </c>
      <c r="H2635" s="2" t="s">
        <v>26</v>
      </c>
      <c r="I2635" s="2"/>
      <c r="J2635" s="2" t="s">
        <v>19</v>
      </c>
      <c r="K2635" s="2" t="s">
        <v>20</v>
      </c>
      <c r="L2635" s="4" t="s">
        <v>7042</v>
      </c>
    </row>
    <row r="2636" customFormat="false" ht="13.35" hidden="false" customHeight="true" outlineLevel="0" collapsed="false">
      <c r="A2636" s="5" t="str">
        <f aca="false">HYPERLINK("https://www.fabsurplus.com/sdi_catalog/salesItemDetails.do?id=99390")</f>
        <v>https://www.fabsurplus.com/sdi_catalog/salesItemDetails.do?id=99390</v>
      </c>
      <c r="B2636" s="5" t="s">
        <v>7044</v>
      </c>
      <c r="C2636" s="5" t="s">
        <v>7040</v>
      </c>
      <c r="D2636" s="5" t="s">
        <v>7041</v>
      </c>
      <c r="E2636" s="5" t="s">
        <v>233</v>
      </c>
      <c r="F2636" s="5" t="s">
        <v>16</v>
      </c>
      <c r="G2636" s="5" t="s">
        <v>181</v>
      </c>
      <c r="H2636" s="5" t="s">
        <v>26</v>
      </c>
      <c r="I2636" s="5"/>
      <c r="J2636" s="5" t="s">
        <v>19</v>
      </c>
      <c r="K2636" s="5" t="s">
        <v>20</v>
      </c>
      <c r="L2636" s="7" t="s">
        <v>7042</v>
      </c>
    </row>
    <row r="2637" customFormat="false" ht="13.35" hidden="false" customHeight="true" outlineLevel="0" collapsed="false">
      <c r="A2637" s="2" t="str">
        <f aca="false">HYPERLINK("https://www.fabsurplus.com/sdi_catalog/salesItemDetails.do?id=99391")</f>
        <v>https://www.fabsurplus.com/sdi_catalog/salesItemDetails.do?id=99391</v>
      </c>
      <c r="B2637" s="2" t="s">
        <v>7045</v>
      </c>
      <c r="C2637" s="2" t="s">
        <v>7040</v>
      </c>
      <c r="D2637" s="2" t="s">
        <v>7046</v>
      </c>
      <c r="E2637" s="2" t="s">
        <v>233</v>
      </c>
      <c r="F2637" s="2" t="s">
        <v>16</v>
      </c>
      <c r="G2637" s="2" t="s">
        <v>181</v>
      </c>
      <c r="H2637" s="2" t="s">
        <v>26</v>
      </c>
      <c r="I2637" s="2"/>
      <c r="J2637" s="2" t="s">
        <v>19</v>
      </c>
      <c r="K2637" s="2" t="s">
        <v>20</v>
      </c>
      <c r="L2637" s="4" t="s">
        <v>7042</v>
      </c>
    </row>
    <row r="2638" customFormat="false" ht="13.35" hidden="false" customHeight="true" outlineLevel="0" collapsed="false">
      <c r="A2638" s="5" t="str">
        <f aca="false">HYPERLINK("https://www.fabsurplus.com/sdi_catalog/salesItemDetails.do?id=102466")</f>
        <v>https://www.fabsurplus.com/sdi_catalog/salesItemDetails.do?id=102466</v>
      </c>
      <c r="B2638" s="5" t="s">
        <v>7047</v>
      </c>
      <c r="C2638" s="5" t="s">
        <v>7048</v>
      </c>
      <c r="D2638" s="5" t="s">
        <v>7049</v>
      </c>
      <c r="E2638" s="5" t="s">
        <v>239</v>
      </c>
      <c r="F2638" s="5" t="s">
        <v>16</v>
      </c>
      <c r="G2638" s="5" t="s">
        <v>181</v>
      </c>
      <c r="H2638" s="5" t="s">
        <v>26</v>
      </c>
      <c r="I2638" s="5"/>
      <c r="J2638" s="5" t="s">
        <v>19</v>
      </c>
      <c r="K2638" s="5" t="s">
        <v>20</v>
      </c>
      <c r="L2638" s="7" t="s">
        <v>7050</v>
      </c>
    </row>
    <row r="2639" customFormat="false" ht="13.35" hidden="false" customHeight="true" outlineLevel="0" collapsed="false">
      <c r="A2639" s="2" t="str">
        <f aca="false">HYPERLINK("https://www.fabsurplus.com/sdi_catalog/salesItemDetails.do?id=95431")</f>
        <v>https://www.fabsurplus.com/sdi_catalog/salesItemDetails.do?id=95431</v>
      </c>
      <c r="B2639" s="2" t="s">
        <v>7051</v>
      </c>
      <c r="C2639" s="2" t="s">
        <v>7052</v>
      </c>
      <c r="D2639" s="2" t="s">
        <v>7053</v>
      </c>
      <c r="E2639" s="2" t="s">
        <v>7054</v>
      </c>
      <c r="F2639" s="2" t="s">
        <v>16</v>
      </c>
      <c r="G2639" s="2" t="s">
        <v>240</v>
      </c>
      <c r="H2639" s="2" t="s">
        <v>26</v>
      </c>
      <c r="I2639" s="2"/>
      <c r="J2639" s="2" t="s">
        <v>19</v>
      </c>
      <c r="K2639" s="2" t="s">
        <v>20</v>
      </c>
      <c r="L2639" s="4" t="s">
        <v>7055</v>
      </c>
    </row>
    <row r="2640" customFormat="false" ht="13.35" hidden="false" customHeight="true" outlineLevel="0" collapsed="false">
      <c r="A2640" s="5" t="str">
        <f aca="false">HYPERLINK("https://www.fabsurplus.com/sdi_catalog/salesItemDetails.do?id=103021")</f>
        <v>https://www.fabsurplus.com/sdi_catalog/salesItemDetails.do?id=103021</v>
      </c>
      <c r="B2640" s="5" t="s">
        <v>7056</v>
      </c>
      <c r="C2640" s="5" t="s">
        <v>7057</v>
      </c>
      <c r="D2640" s="5" t="s">
        <v>7058</v>
      </c>
      <c r="E2640" s="5" t="s">
        <v>7059</v>
      </c>
      <c r="F2640" s="5" t="s">
        <v>16</v>
      </c>
      <c r="G2640" s="5" t="s">
        <v>36</v>
      </c>
      <c r="H2640" s="5"/>
      <c r="I2640" s="6" t="n">
        <v>34851</v>
      </c>
      <c r="J2640" s="5" t="s">
        <v>19</v>
      </c>
      <c r="K2640" s="5"/>
      <c r="L2640" s="7" t="s">
        <v>7060</v>
      </c>
    </row>
    <row r="2641" customFormat="false" ht="13.35" hidden="false" customHeight="true" outlineLevel="0" collapsed="false">
      <c r="A2641" s="5" t="str">
        <f aca="false">HYPERLINK("https://www.fabsurplus.com/sdi_catalog/salesItemDetails.do?id=10135")</f>
        <v>https://www.fabsurplus.com/sdi_catalog/salesItemDetails.do?id=10135</v>
      </c>
      <c r="B2641" s="5" t="s">
        <v>7061</v>
      </c>
      <c r="C2641" s="5" t="s">
        <v>7062</v>
      </c>
      <c r="D2641" s="5" t="s">
        <v>7063</v>
      </c>
      <c r="E2641" s="5" t="s">
        <v>7064</v>
      </c>
      <c r="F2641" s="5" t="s">
        <v>16</v>
      </c>
      <c r="G2641" s="5"/>
      <c r="H2641" s="5" t="s">
        <v>18</v>
      </c>
      <c r="I2641" s="5"/>
      <c r="J2641" s="5" t="s">
        <v>47</v>
      </c>
      <c r="K2641" s="5" t="s">
        <v>20</v>
      </c>
      <c r="L2641" s="5" t="s">
        <v>7065</v>
      </c>
    </row>
    <row r="2642" customFormat="false" ht="13.35" hidden="false" customHeight="true" outlineLevel="0" collapsed="false">
      <c r="A2642" s="5" t="str">
        <f aca="false">HYPERLINK("https://www.fabsurplus.com/sdi_catalog/salesItemDetails.do?id=98050")</f>
        <v>https://www.fabsurplus.com/sdi_catalog/salesItemDetails.do?id=98050</v>
      </c>
      <c r="B2642" s="5" t="s">
        <v>7066</v>
      </c>
      <c r="C2642" s="5" t="s">
        <v>7067</v>
      </c>
      <c r="D2642" s="5" t="s">
        <v>7068</v>
      </c>
      <c r="E2642" s="5" t="s">
        <v>1812</v>
      </c>
      <c r="F2642" s="5" t="s">
        <v>16</v>
      </c>
      <c r="G2642" s="5" t="s">
        <v>36</v>
      </c>
      <c r="H2642" s="5"/>
      <c r="I2642" s="6" t="n">
        <v>38504</v>
      </c>
      <c r="J2642" s="5" t="s">
        <v>19</v>
      </c>
      <c r="K2642" s="5"/>
      <c r="L2642" s="5"/>
    </row>
    <row r="2643" customFormat="false" ht="13.35" hidden="false" customHeight="true" outlineLevel="0" collapsed="false">
      <c r="A2643" s="2" t="str">
        <f aca="false">HYPERLINK("https://www.fabsurplus.com/sdi_catalog/salesItemDetails.do?id=98051")</f>
        <v>https://www.fabsurplus.com/sdi_catalog/salesItemDetails.do?id=98051</v>
      </c>
      <c r="B2643" s="2" t="s">
        <v>7069</v>
      </c>
      <c r="C2643" s="2" t="s">
        <v>7067</v>
      </c>
      <c r="D2643" s="2" t="s">
        <v>7070</v>
      </c>
      <c r="E2643" s="2" t="s">
        <v>1812</v>
      </c>
      <c r="F2643" s="2" t="s">
        <v>16</v>
      </c>
      <c r="G2643" s="2" t="s">
        <v>36</v>
      </c>
      <c r="H2643" s="2"/>
      <c r="I2643" s="3" t="n">
        <v>38504</v>
      </c>
      <c r="J2643" s="2" t="s">
        <v>19</v>
      </c>
      <c r="K2643" s="2"/>
      <c r="L2643" s="2"/>
    </row>
    <row r="2644" customFormat="false" ht="13.35" hidden="false" customHeight="true" outlineLevel="0" collapsed="false">
      <c r="A2644" s="5" t="str">
        <f aca="false">HYPERLINK("https://www.fabsurplus.com/sdi_catalog/salesItemDetails.do?id=98052")</f>
        <v>https://www.fabsurplus.com/sdi_catalog/salesItemDetails.do?id=98052</v>
      </c>
      <c r="B2644" s="5" t="s">
        <v>7071</v>
      </c>
      <c r="C2644" s="5" t="s">
        <v>7067</v>
      </c>
      <c r="D2644" s="5" t="s">
        <v>7070</v>
      </c>
      <c r="E2644" s="5" t="s">
        <v>1812</v>
      </c>
      <c r="F2644" s="5" t="s">
        <v>16</v>
      </c>
      <c r="G2644" s="5" t="s">
        <v>36</v>
      </c>
      <c r="H2644" s="5"/>
      <c r="I2644" s="6" t="n">
        <v>39234</v>
      </c>
      <c r="J2644" s="5" t="s">
        <v>19</v>
      </c>
      <c r="K2644" s="5"/>
      <c r="L2644" s="5"/>
    </row>
    <row r="2645" customFormat="false" ht="13.35" hidden="false" customHeight="true" outlineLevel="0" collapsed="false">
      <c r="A2645" s="2" t="str">
        <f aca="false">HYPERLINK("https://www.fabsurplus.com/sdi_catalog/salesItemDetails.do?id=100050")</f>
        <v>https://www.fabsurplus.com/sdi_catalog/salesItemDetails.do?id=100050</v>
      </c>
      <c r="B2645" s="2" t="s">
        <v>7072</v>
      </c>
      <c r="C2645" s="2" t="s">
        <v>7073</v>
      </c>
      <c r="D2645" s="2" t="s">
        <v>7074</v>
      </c>
      <c r="E2645" s="2" t="s">
        <v>4337</v>
      </c>
      <c r="F2645" s="2" t="s">
        <v>16</v>
      </c>
      <c r="G2645" s="2" t="s">
        <v>499</v>
      </c>
      <c r="H2645" s="2"/>
      <c r="I2645" s="2"/>
      <c r="J2645" s="2" t="s">
        <v>19</v>
      </c>
      <c r="K2645" s="2"/>
      <c r="L2645" s="4" t="s">
        <v>439</v>
      </c>
    </row>
    <row r="2646" customFormat="false" ht="13.35" hidden="false" customHeight="true" outlineLevel="0" collapsed="false">
      <c r="A2646" s="5" t="str">
        <f aca="false">HYPERLINK("https://www.fabsurplus.com/sdi_catalog/salesItemDetails.do?id=100051")</f>
        <v>https://www.fabsurplus.com/sdi_catalog/salesItemDetails.do?id=100051</v>
      </c>
      <c r="B2646" s="5" t="s">
        <v>7075</v>
      </c>
      <c r="C2646" s="5" t="s">
        <v>7073</v>
      </c>
      <c r="D2646" s="5" t="s">
        <v>7074</v>
      </c>
      <c r="E2646" s="5" t="s">
        <v>4337</v>
      </c>
      <c r="F2646" s="5" t="s">
        <v>16</v>
      </c>
      <c r="G2646" s="5" t="s">
        <v>499</v>
      </c>
      <c r="H2646" s="5"/>
      <c r="I2646" s="5"/>
      <c r="J2646" s="5" t="s">
        <v>19</v>
      </c>
      <c r="K2646" s="5"/>
      <c r="L2646" s="7" t="s">
        <v>439</v>
      </c>
    </row>
    <row r="2647" customFormat="false" ht="13.35" hidden="false" customHeight="true" outlineLevel="0" collapsed="false">
      <c r="A2647" s="2" t="str">
        <f aca="false">HYPERLINK("https://www.fabsurplus.com/sdi_catalog/salesItemDetails.do?id=101761")</f>
        <v>https://www.fabsurplus.com/sdi_catalog/salesItemDetails.do?id=101761</v>
      </c>
      <c r="B2647" s="2" t="s">
        <v>7076</v>
      </c>
      <c r="C2647" s="2" t="s">
        <v>7067</v>
      </c>
      <c r="D2647" s="2" t="s">
        <v>7077</v>
      </c>
      <c r="E2647" s="2" t="s">
        <v>7078</v>
      </c>
      <c r="F2647" s="2" t="s">
        <v>16</v>
      </c>
      <c r="G2647" s="2"/>
      <c r="H2647" s="2"/>
      <c r="I2647" s="3" t="n">
        <v>42186</v>
      </c>
      <c r="J2647" s="2" t="s">
        <v>47</v>
      </c>
      <c r="K2647" s="2"/>
      <c r="L2647" s="2" t="s">
        <v>474</v>
      </c>
    </row>
    <row r="2648" customFormat="false" ht="13.35" hidden="false" customHeight="true" outlineLevel="0" collapsed="false">
      <c r="A2648" s="5" t="str">
        <f aca="false">HYPERLINK("https://www.fabsurplus.com/sdi_catalog/salesItemDetails.do?id=101836")</f>
        <v>https://www.fabsurplus.com/sdi_catalog/salesItemDetails.do?id=101836</v>
      </c>
      <c r="B2648" s="5" t="s">
        <v>7079</v>
      </c>
      <c r="C2648" s="5" t="s">
        <v>7080</v>
      </c>
      <c r="D2648" s="5" t="s">
        <v>7081</v>
      </c>
      <c r="E2648" s="5" t="s">
        <v>7082</v>
      </c>
      <c r="F2648" s="5" t="s">
        <v>16</v>
      </c>
      <c r="G2648" s="5" t="s">
        <v>1498</v>
      </c>
      <c r="H2648" s="5" t="s">
        <v>3723</v>
      </c>
      <c r="I2648" s="6" t="n">
        <v>39783</v>
      </c>
      <c r="J2648" s="5" t="s">
        <v>19</v>
      </c>
      <c r="K2648" s="5" t="s">
        <v>20</v>
      </c>
      <c r="L2648" s="5"/>
    </row>
    <row r="2649" customFormat="false" ht="13.35" hidden="false" customHeight="true" outlineLevel="0" collapsed="false">
      <c r="A2649" s="2" t="str">
        <f aca="false">HYPERLINK("https://www.fabsurplus.com/sdi_catalog/salesItemDetails.do?id=101837")</f>
        <v>https://www.fabsurplus.com/sdi_catalog/salesItemDetails.do?id=101837</v>
      </c>
      <c r="B2649" s="2" t="s">
        <v>7083</v>
      </c>
      <c r="C2649" s="2" t="s">
        <v>7080</v>
      </c>
      <c r="D2649" s="2" t="s">
        <v>7084</v>
      </c>
      <c r="E2649" s="2" t="s">
        <v>7082</v>
      </c>
      <c r="F2649" s="2" t="s">
        <v>16</v>
      </c>
      <c r="G2649" s="2" t="s">
        <v>1498</v>
      </c>
      <c r="H2649" s="2" t="s">
        <v>3723</v>
      </c>
      <c r="I2649" s="3" t="n">
        <v>39326</v>
      </c>
      <c r="J2649" s="2" t="s">
        <v>19</v>
      </c>
      <c r="K2649" s="2" t="s">
        <v>20</v>
      </c>
      <c r="L2649" s="2"/>
    </row>
    <row r="2650" customFormat="false" ht="13.35" hidden="false" customHeight="true" outlineLevel="0" collapsed="false">
      <c r="A2650" s="5" t="str">
        <f aca="false">HYPERLINK("https://www.fabsurplus.com/sdi_catalog/salesItemDetails.do?id=100711")</f>
        <v>https://www.fabsurplus.com/sdi_catalog/salesItemDetails.do?id=100711</v>
      </c>
      <c r="B2650" s="5" t="s">
        <v>7085</v>
      </c>
      <c r="C2650" s="5" t="s">
        <v>7086</v>
      </c>
      <c r="D2650" s="5" t="s">
        <v>7087</v>
      </c>
      <c r="E2650" s="5" t="s">
        <v>6705</v>
      </c>
      <c r="F2650" s="5" t="s">
        <v>16</v>
      </c>
      <c r="G2650" s="5" t="s">
        <v>1964</v>
      </c>
      <c r="H2650" s="5" t="s">
        <v>18</v>
      </c>
      <c r="I2650" s="5"/>
      <c r="J2650" s="5" t="s">
        <v>19</v>
      </c>
      <c r="K2650" s="5" t="s">
        <v>20</v>
      </c>
      <c r="L2650" s="5" t="s">
        <v>584</v>
      </c>
    </row>
    <row r="2651" customFormat="false" ht="13.35" hidden="false" customHeight="true" outlineLevel="0" collapsed="false">
      <c r="A2651" s="2" t="str">
        <f aca="false">HYPERLINK("https://www.fabsurplus.com/sdi_catalog/salesItemDetails.do?id=102833")</f>
        <v>https://www.fabsurplus.com/sdi_catalog/salesItemDetails.do?id=102833</v>
      </c>
      <c r="B2651" s="2" t="s">
        <v>7088</v>
      </c>
      <c r="C2651" s="2" t="s">
        <v>7089</v>
      </c>
      <c r="D2651" s="2" t="s">
        <v>7090</v>
      </c>
      <c r="E2651" s="2" t="s">
        <v>7091</v>
      </c>
      <c r="F2651" s="2" t="s">
        <v>16</v>
      </c>
      <c r="G2651" s="2" t="s">
        <v>25</v>
      </c>
      <c r="H2651" s="2"/>
      <c r="I2651" s="3" t="n">
        <v>42156</v>
      </c>
      <c r="J2651" s="2" t="s">
        <v>19</v>
      </c>
      <c r="K2651" s="2"/>
      <c r="L2651" s="4" t="s">
        <v>7092</v>
      </c>
    </row>
    <row r="2652" customFormat="false" ht="13.35" hidden="false" customHeight="true" outlineLevel="0" collapsed="false">
      <c r="A2652" s="5" t="str">
        <f aca="false">HYPERLINK("https://www.fabsurplus.com/sdi_catalog/salesItemDetails.do?id=102834")</f>
        <v>https://www.fabsurplus.com/sdi_catalog/salesItemDetails.do?id=102834</v>
      </c>
      <c r="B2652" s="5" t="s">
        <v>7093</v>
      </c>
      <c r="C2652" s="5" t="s">
        <v>7089</v>
      </c>
      <c r="D2652" s="5" t="s">
        <v>7090</v>
      </c>
      <c r="E2652" s="5" t="s">
        <v>7091</v>
      </c>
      <c r="F2652" s="5" t="s">
        <v>16</v>
      </c>
      <c r="G2652" s="5" t="s">
        <v>25</v>
      </c>
      <c r="H2652" s="5"/>
      <c r="I2652" s="6" t="n">
        <v>42156</v>
      </c>
      <c r="J2652" s="5" t="s">
        <v>19</v>
      </c>
      <c r="K2652" s="5"/>
      <c r="L2652" s="7" t="s">
        <v>7094</v>
      </c>
    </row>
    <row r="2653" customFormat="false" ht="13.35" hidden="false" customHeight="true" outlineLevel="0" collapsed="false">
      <c r="A2653" s="2" t="str">
        <f aca="false">HYPERLINK("https://www.fabsurplus.com/sdi_catalog/salesItemDetails.do?id=102835")</f>
        <v>https://www.fabsurplus.com/sdi_catalog/salesItemDetails.do?id=102835</v>
      </c>
      <c r="B2653" s="2" t="s">
        <v>7095</v>
      </c>
      <c r="C2653" s="2" t="s">
        <v>7089</v>
      </c>
      <c r="D2653" s="2" t="s">
        <v>7090</v>
      </c>
      <c r="E2653" s="2" t="s">
        <v>7091</v>
      </c>
      <c r="F2653" s="2" t="s">
        <v>16</v>
      </c>
      <c r="G2653" s="2" t="s">
        <v>25</v>
      </c>
      <c r="H2653" s="2"/>
      <c r="I2653" s="3" t="n">
        <v>42156</v>
      </c>
      <c r="J2653" s="2" t="s">
        <v>19</v>
      </c>
      <c r="K2653" s="2"/>
      <c r="L2653" s="4" t="s">
        <v>7096</v>
      </c>
    </row>
    <row r="2654" customFormat="false" ht="13.35" hidden="false" customHeight="true" outlineLevel="0" collapsed="false">
      <c r="A2654" s="5" t="str">
        <f aca="false">HYPERLINK("https://www.fabsurplus.com/sdi_catalog/salesItemDetails.do?id=102836")</f>
        <v>https://www.fabsurplus.com/sdi_catalog/salesItemDetails.do?id=102836</v>
      </c>
      <c r="B2654" s="5" t="s">
        <v>7097</v>
      </c>
      <c r="C2654" s="5" t="s">
        <v>7089</v>
      </c>
      <c r="D2654" s="5" t="s">
        <v>7090</v>
      </c>
      <c r="E2654" s="5" t="s">
        <v>7091</v>
      </c>
      <c r="F2654" s="5" t="s">
        <v>16</v>
      </c>
      <c r="G2654" s="5" t="s">
        <v>25</v>
      </c>
      <c r="H2654" s="5"/>
      <c r="I2654" s="6" t="n">
        <v>42156</v>
      </c>
      <c r="J2654" s="5" t="s">
        <v>19</v>
      </c>
      <c r="K2654" s="5"/>
      <c r="L2654" s="7" t="s">
        <v>7098</v>
      </c>
    </row>
    <row r="2655" customFormat="false" ht="13.35" hidden="false" customHeight="true" outlineLevel="0" collapsed="false">
      <c r="A2655" s="5" t="str">
        <f aca="false">HYPERLINK("https://www.fabsurplus.com/sdi_catalog/salesItemDetails.do?id=100712")</f>
        <v>https://www.fabsurplus.com/sdi_catalog/salesItemDetails.do?id=100712</v>
      </c>
      <c r="B2655" s="5" t="s">
        <v>7099</v>
      </c>
      <c r="C2655" s="5" t="s">
        <v>7100</v>
      </c>
      <c r="D2655" s="5" t="s">
        <v>7101</v>
      </c>
      <c r="E2655" s="5" t="s">
        <v>7102</v>
      </c>
      <c r="F2655" s="5" t="s">
        <v>16</v>
      </c>
      <c r="G2655" s="5" t="s">
        <v>1964</v>
      </c>
      <c r="H2655" s="5" t="s">
        <v>18</v>
      </c>
      <c r="I2655" s="6" t="n">
        <v>41061</v>
      </c>
      <c r="J2655" s="5" t="s">
        <v>19</v>
      </c>
      <c r="K2655" s="5" t="s">
        <v>20</v>
      </c>
      <c r="L2655" s="7" t="s">
        <v>7103</v>
      </c>
    </row>
    <row r="2656" customFormat="false" ht="13.35" hidden="false" customHeight="true" outlineLevel="0" collapsed="false">
      <c r="A2656" s="5" t="str">
        <f aca="false">HYPERLINK("https://www.fabsurplus.com/sdi_catalog/salesItemDetails.do?id=103137")</f>
        <v>https://www.fabsurplus.com/sdi_catalog/salesItemDetails.do?id=103137</v>
      </c>
      <c r="B2656" s="5" t="s">
        <v>7104</v>
      </c>
      <c r="C2656" s="5" t="s">
        <v>7105</v>
      </c>
      <c r="D2656" s="5" t="s">
        <v>7106</v>
      </c>
      <c r="E2656" s="5" t="s">
        <v>2639</v>
      </c>
      <c r="F2656" s="5" t="s">
        <v>16</v>
      </c>
      <c r="G2656" s="5" t="s">
        <v>658</v>
      </c>
      <c r="H2656" s="5"/>
      <c r="I2656" s="5"/>
      <c r="J2656" s="5" t="s">
        <v>19</v>
      </c>
      <c r="K2656" s="5"/>
      <c r="L2656" s="7" t="s">
        <v>7107</v>
      </c>
    </row>
    <row r="2657" customFormat="false" ht="13.35" hidden="false" customHeight="true" outlineLevel="0" collapsed="false">
      <c r="A2657" s="5" t="str">
        <f aca="false">HYPERLINK("https://www.fabsurplus.com/sdi_catalog/salesItemDetails.do?id=33628")</f>
        <v>https://www.fabsurplus.com/sdi_catalog/salesItemDetails.do?id=33628</v>
      </c>
      <c r="B2657" s="5" t="s">
        <v>7108</v>
      </c>
      <c r="C2657" s="5" t="s">
        <v>7109</v>
      </c>
      <c r="D2657" s="5" t="s">
        <v>7110</v>
      </c>
      <c r="E2657" s="5" t="s">
        <v>7111</v>
      </c>
      <c r="F2657" s="5" t="s">
        <v>16</v>
      </c>
      <c r="G2657" s="5"/>
      <c r="H2657" s="5"/>
      <c r="I2657" s="5"/>
      <c r="J2657" s="5" t="s">
        <v>19</v>
      </c>
      <c r="K2657" s="5"/>
      <c r="L2657" s="5" t="s">
        <v>7111</v>
      </c>
    </row>
    <row r="2658" customFormat="false" ht="13.35" hidden="false" customHeight="true" outlineLevel="0" collapsed="false">
      <c r="A2658" s="5" t="str">
        <f aca="false">HYPERLINK("https://www.fabsurplus.com/sdi_catalog/salesItemDetails.do?id=87482")</f>
        <v>https://www.fabsurplus.com/sdi_catalog/salesItemDetails.do?id=87482</v>
      </c>
      <c r="B2658" s="5" t="s">
        <v>7112</v>
      </c>
      <c r="C2658" s="5" t="s">
        <v>7113</v>
      </c>
      <c r="D2658" s="5" t="s">
        <v>7114</v>
      </c>
      <c r="E2658" s="5" t="s">
        <v>7115</v>
      </c>
      <c r="F2658" s="5" t="s">
        <v>16</v>
      </c>
      <c r="G2658" s="5" t="s">
        <v>160</v>
      </c>
      <c r="H2658" s="5" t="s">
        <v>96</v>
      </c>
      <c r="I2658" s="5"/>
      <c r="J2658" s="5" t="s">
        <v>19</v>
      </c>
      <c r="K2658" s="5" t="s">
        <v>20</v>
      </c>
      <c r="L2658" s="7" t="s">
        <v>7116</v>
      </c>
    </row>
    <row r="2659" customFormat="false" ht="13.35" hidden="false" customHeight="true" outlineLevel="0" collapsed="false">
      <c r="A2659" s="2" t="str">
        <f aca="false">HYPERLINK("https://www.fabsurplus.com/sdi_catalog/salesItemDetails.do?id=103051")</f>
        <v>https://www.fabsurplus.com/sdi_catalog/salesItemDetails.do?id=103051</v>
      </c>
      <c r="B2659" s="2" t="s">
        <v>7117</v>
      </c>
      <c r="C2659" s="2" t="s">
        <v>7118</v>
      </c>
      <c r="D2659" s="2" t="s">
        <v>7119</v>
      </c>
      <c r="E2659" s="2" t="s">
        <v>7120</v>
      </c>
      <c r="F2659" s="2" t="s">
        <v>16</v>
      </c>
      <c r="G2659" s="2" t="s">
        <v>499</v>
      </c>
      <c r="H2659" s="2"/>
      <c r="I2659" s="2"/>
      <c r="J2659" s="2" t="s">
        <v>19</v>
      </c>
      <c r="K2659" s="2"/>
      <c r="L2659" s="4" t="s">
        <v>7121</v>
      </c>
    </row>
    <row r="2660" customFormat="false" ht="13.35" hidden="false" customHeight="true" outlineLevel="0" collapsed="false">
      <c r="A2660" s="5" t="str">
        <f aca="false">HYPERLINK("https://www.fabsurplus.com/sdi_catalog/salesItemDetails.do?id=103052")</f>
        <v>https://www.fabsurplus.com/sdi_catalog/salesItemDetails.do?id=103052</v>
      </c>
      <c r="B2660" s="5" t="s">
        <v>7122</v>
      </c>
      <c r="C2660" s="5" t="s">
        <v>7118</v>
      </c>
      <c r="D2660" s="5" t="s">
        <v>7123</v>
      </c>
      <c r="E2660" s="5" t="s">
        <v>7124</v>
      </c>
      <c r="F2660" s="5" t="s">
        <v>16</v>
      </c>
      <c r="G2660" s="5" t="s">
        <v>499</v>
      </c>
      <c r="H2660" s="5"/>
      <c r="I2660" s="5"/>
      <c r="J2660" s="5" t="s">
        <v>19</v>
      </c>
      <c r="K2660" s="5"/>
      <c r="L2660" s="7" t="s">
        <v>7125</v>
      </c>
    </row>
    <row r="2661" customFormat="false" ht="13.35" hidden="false" customHeight="true" outlineLevel="0" collapsed="false">
      <c r="A2661" s="2" t="str">
        <f aca="false">HYPERLINK("https://www.fabsurplus.com/sdi_catalog/salesItemDetails.do?id=93087")</f>
        <v>https://www.fabsurplus.com/sdi_catalog/salesItemDetails.do?id=93087</v>
      </c>
      <c r="B2661" s="2" t="s">
        <v>7126</v>
      </c>
      <c r="C2661" s="2" t="s">
        <v>7127</v>
      </c>
      <c r="D2661" s="2" t="s">
        <v>3312</v>
      </c>
      <c r="E2661" s="2" t="s">
        <v>3313</v>
      </c>
      <c r="F2661" s="2" t="s">
        <v>16</v>
      </c>
      <c r="G2661" s="2" t="s">
        <v>663</v>
      </c>
      <c r="H2661" s="2" t="s">
        <v>18</v>
      </c>
      <c r="I2661" s="2"/>
      <c r="J2661" s="2" t="s">
        <v>19</v>
      </c>
      <c r="K2661" s="2" t="s">
        <v>20</v>
      </c>
      <c r="L2661" s="2" t="s">
        <v>112</v>
      </c>
    </row>
    <row r="2662" customFormat="false" ht="13.35" hidden="false" customHeight="true" outlineLevel="0" collapsed="false">
      <c r="A2662" s="2" t="str">
        <f aca="false">HYPERLINK("https://www.fabsurplus.com/sdi_catalog/salesItemDetails.do?id=101826")</f>
        <v>https://www.fabsurplus.com/sdi_catalog/salesItemDetails.do?id=101826</v>
      </c>
      <c r="B2662" s="2" t="s">
        <v>7128</v>
      </c>
      <c r="C2662" s="2" t="s">
        <v>7129</v>
      </c>
      <c r="D2662" s="2" t="s">
        <v>7130</v>
      </c>
      <c r="E2662" s="2" t="s">
        <v>7131</v>
      </c>
      <c r="F2662" s="2" t="s">
        <v>16</v>
      </c>
      <c r="G2662" s="2" t="s">
        <v>160</v>
      </c>
      <c r="H2662" s="2" t="s">
        <v>18</v>
      </c>
      <c r="I2662" s="3" t="n">
        <v>41791</v>
      </c>
      <c r="J2662" s="2" t="s">
        <v>19</v>
      </c>
      <c r="K2662" s="2" t="s">
        <v>20</v>
      </c>
      <c r="L2662" s="2"/>
    </row>
    <row r="2663" customFormat="false" ht="13.35" hidden="false" customHeight="true" outlineLevel="0" collapsed="false">
      <c r="A2663" s="5" t="str">
        <f aca="false">HYPERLINK("https://www.fabsurplus.com/sdi_catalog/salesItemDetails.do?id=97107")</f>
        <v>https://www.fabsurplus.com/sdi_catalog/salesItemDetails.do?id=97107</v>
      </c>
      <c r="B2663" s="5" t="s">
        <v>7132</v>
      </c>
      <c r="C2663" s="5" t="s">
        <v>7133</v>
      </c>
      <c r="D2663" s="5" t="s">
        <v>7134</v>
      </c>
      <c r="E2663" s="5" t="s">
        <v>7135</v>
      </c>
      <c r="F2663" s="5" t="s">
        <v>16</v>
      </c>
      <c r="G2663" s="5"/>
      <c r="H2663" s="5"/>
      <c r="I2663" s="6" t="n">
        <v>40695</v>
      </c>
      <c r="J2663" s="5" t="s">
        <v>19</v>
      </c>
      <c r="K2663" s="5"/>
      <c r="L2663" s="7" t="s">
        <v>7136</v>
      </c>
    </row>
    <row r="2664" customFormat="false" ht="13.35" hidden="false" customHeight="true" outlineLevel="0" collapsed="false">
      <c r="A2664" s="2" t="str">
        <f aca="false">HYPERLINK("https://www.fabsurplus.com/sdi_catalog/salesItemDetails.do?id=98498")</f>
        <v>https://www.fabsurplus.com/sdi_catalog/salesItemDetails.do?id=98498</v>
      </c>
      <c r="B2664" s="2" t="s">
        <v>7137</v>
      </c>
      <c r="C2664" s="2" t="s">
        <v>7138</v>
      </c>
      <c r="D2664" s="2" t="s">
        <v>7139</v>
      </c>
      <c r="E2664" s="2" t="s">
        <v>7140</v>
      </c>
      <c r="F2664" s="2" t="s">
        <v>125</v>
      </c>
      <c r="G2664" s="2" t="s">
        <v>658</v>
      </c>
      <c r="H2664" s="2"/>
      <c r="I2664" s="2"/>
      <c r="J2664" s="2" t="s">
        <v>19</v>
      </c>
      <c r="K2664" s="2"/>
      <c r="L2664" s="2" t="s">
        <v>1417</v>
      </c>
    </row>
    <row r="2665" customFormat="false" ht="13.35" hidden="false" customHeight="true" outlineLevel="0" collapsed="false">
      <c r="A2665" s="5" t="str">
        <f aca="false">HYPERLINK("https://www.fabsurplus.com/sdi_catalog/salesItemDetails.do?id=98499")</f>
        <v>https://www.fabsurplus.com/sdi_catalog/salesItemDetails.do?id=98499</v>
      </c>
      <c r="B2665" s="5" t="s">
        <v>7141</v>
      </c>
      <c r="C2665" s="5" t="s">
        <v>7138</v>
      </c>
      <c r="D2665" s="5" t="s">
        <v>7142</v>
      </c>
      <c r="E2665" s="5" t="s">
        <v>7143</v>
      </c>
      <c r="F2665" s="5" t="s">
        <v>125</v>
      </c>
      <c r="G2665" s="5" t="s">
        <v>658</v>
      </c>
      <c r="H2665" s="5"/>
      <c r="I2665" s="5"/>
      <c r="J2665" s="5" t="s">
        <v>19</v>
      </c>
      <c r="K2665" s="5"/>
      <c r="L2665" s="5" t="s">
        <v>1417</v>
      </c>
    </row>
    <row r="2666" customFormat="false" ht="13.35" hidden="false" customHeight="true" outlineLevel="0" collapsed="false">
      <c r="A2666" s="5" t="str">
        <f aca="false">HYPERLINK("https://www.fabsurplus.com/sdi_catalog/salesItemDetails.do?id=103020")</f>
        <v>https://www.fabsurplus.com/sdi_catalog/salesItemDetails.do?id=103020</v>
      </c>
      <c r="B2666" s="5" t="s">
        <v>7144</v>
      </c>
      <c r="C2666" s="5" t="s">
        <v>7138</v>
      </c>
      <c r="D2666" s="5" t="s">
        <v>7145</v>
      </c>
      <c r="E2666" s="5" t="s">
        <v>7146</v>
      </c>
      <c r="F2666" s="5" t="s">
        <v>16</v>
      </c>
      <c r="G2666" s="5"/>
      <c r="H2666" s="5"/>
      <c r="I2666" s="6" t="n">
        <v>38869</v>
      </c>
      <c r="J2666" s="5" t="s">
        <v>19</v>
      </c>
      <c r="K2666" s="5"/>
      <c r="L2666" s="7" t="s">
        <v>7147</v>
      </c>
    </row>
    <row r="2667" customFormat="false" ht="13.35" hidden="false" customHeight="true" outlineLevel="0" collapsed="false">
      <c r="A2667" s="2" t="str">
        <f aca="false">HYPERLINK("https://www.fabsurplus.com/sdi_catalog/salesItemDetails.do?id=102563")</f>
        <v>https://www.fabsurplus.com/sdi_catalog/salesItemDetails.do?id=102563</v>
      </c>
      <c r="B2667" s="2" t="s">
        <v>7148</v>
      </c>
      <c r="C2667" s="2" t="s">
        <v>7149</v>
      </c>
      <c r="D2667" s="2" t="s">
        <v>7150</v>
      </c>
      <c r="E2667" s="2" t="s">
        <v>7151</v>
      </c>
      <c r="F2667" s="2" t="s">
        <v>58</v>
      </c>
      <c r="G2667" s="2" t="s">
        <v>658</v>
      </c>
      <c r="H2667" s="2"/>
      <c r="I2667" s="2"/>
      <c r="J2667" s="2" t="s">
        <v>47</v>
      </c>
      <c r="K2667" s="2"/>
      <c r="L2667" s="2"/>
    </row>
    <row r="2668" customFormat="false" ht="13.35" hidden="false" customHeight="true" outlineLevel="0" collapsed="false">
      <c r="A2668" s="5" t="str">
        <f aca="false">HYPERLINK("https://www.fabsurplus.com/sdi_catalog/salesItemDetails.do?id=102564")</f>
        <v>https://www.fabsurplus.com/sdi_catalog/salesItemDetails.do?id=102564</v>
      </c>
      <c r="B2668" s="5" t="s">
        <v>7152</v>
      </c>
      <c r="C2668" s="5" t="s">
        <v>7149</v>
      </c>
      <c r="D2668" s="5" t="s">
        <v>7153</v>
      </c>
      <c r="E2668" s="5" t="s">
        <v>7154</v>
      </c>
      <c r="F2668" s="5" t="s">
        <v>16</v>
      </c>
      <c r="G2668" s="5" t="s">
        <v>658</v>
      </c>
      <c r="H2668" s="5"/>
      <c r="I2668" s="5"/>
      <c r="J2668" s="5" t="s">
        <v>47</v>
      </c>
      <c r="K2668" s="5"/>
      <c r="L2668" s="5"/>
    </row>
    <row r="2669" customFormat="false" ht="13.35" hidden="false" customHeight="true" outlineLevel="0" collapsed="false">
      <c r="A2669" s="2" t="str">
        <f aca="false">HYPERLINK("https://www.fabsurplus.com/sdi_catalog/salesItemDetails.do?id=102484")</f>
        <v>https://www.fabsurplus.com/sdi_catalog/salesItemDetails.do?id=102484</v>
      </c>
      <c r="B2669" s="2" t="s">
        <v>7155</v>
      </c>
      <c r="C2669" s="2" t="s">
        <v>7156</v>
      </c>
      <c r="D2669" s="2" t="s">
        <v>7157</v>
      </c>
      <c r="E2669" s="2" t="s">
        <v>7158</v>
      </c>
      <c r="F2669" s="2" t="s">
        <v>16</v>
      </c>
      <c r="G2669" s="2" t="s">
        <v>493</v>
      </c>
      <c r="H2669" s="2"/>
      <c r="I2669" s="2"/>
      <c r="J2669" s="2"/>
      <c r="K2669" s="2"/>
      <c r="L2669" s="4" t="s">
        <v>7159</v>
      </c>
    </row>
    <row r="2670" customFormat="false" ht="13.35" hidden="false" customHeight="true" outlineLevel="0" collapsed="false">
      <c r="A2670" s="2" t="str">
        <f aca="false">HYPERLINK("https://www.fabsurplus.com/sdi_catalog/salesItemDetails.do?id=92462")</f>
        <v>https://www.fabsurplus.com/sdi_catalog/salesItemDetails.do?id=92462</v>
      </c>
      <c r="B2670" s="2" t="s">
        <v>7160</v>
      </c>
      <c r="C2670" s="2" t="s">
        <v>7161</v>
      </c>
      <c r="D2670" s="2" t="s">
        <v>7162</v>
      </c>
      <c r="E2670" s="2" t="s">
        <v>229</v>
      </c>
      <c r="F2670" s="2" t="s">
        <v>351</v>
      </c>
      <c r="G2670" s="2"/>
      <c r="H2670" s="2"/>
      <c r="I2670" s="2"/>
      <c r="J2670" s="2" t="s">
        <v>47</v>
      </c>
      <c r="K2670" s="2"/>
      <c r="L2670" s="2" t="s">
        <v>48</v>
      </c>
    </row>
    <row r="2671" customFormat="false" ht="13.35" hidden="false" customHeight="true" outlineLevel="0" collapsed="false">
      <c r="A2671" s="5" t="str">
        <f aca="false">HYPERLINK("https://www.fabsurplus.com/sdi_catalog/salesItemDetails.do?id=92463")</f>
        <v>https://www.fabsurplus.com/sdi_catalog/salesItemDetails.do?id=92463</v>
      </c>
      <c r="B2671" s="5" t="s">
        <v>7163</v>
      </c>
      <c r="C2671" s="5" t="s">
        <v>7161</v>
      </c>
      <c r="D2671" s="5" t="s">
        <v>7164</v>
      </c>
      <c r="E2671" s="5" t="s">
        <v>229</v>
      </c>
      <c r="F2671" s="5" t="s">
        <v>16</v>
      </c>
      <c r="G2671" s="5"/>
      <c r="H2671" s="5"/>
      <c r="I2671" s="5"/>
      <c r="J2671" s="5" t="s">
        <v>47</v>
      </c>
      <c r="K2671" s="5"/>
      <c r="L2671" s="5" t="s">
        <v>48</v>
      </c>
    </row>
    <row r="2672" customFormat="false" ht="13.35" hidden="false" customHeight="true" outlineLevel="0" collapsed="false">
      <c r="A2672" s="5" t="str">
        <f aca="false">HYPERLINK("https://www.fabsurplus.com/sdi_catalog/salesItemDetails.do?id=92461")</f>
        <v>https://www.fabsurplus.com/sdi_catalog/salesItemDetails.do?id=92461</v>
      </c>
      <c r="B2672" s="5" t="s">
        <v>7165</v>
      </c>
      <c r="C2672" s="5" t="s">
        <v>7161</v>
      </c>
      <c r="D2672" s="5" t="s">
        <v>7166</v>
      </c>
      <c r="E2672" s="5" t="s">
        <v>229</v>
      </c>
      <c r="F2672" s="5" t="s">
        <v>16</v>
      </c>
      <c r="G2672" s="5"/>
      <c r="H2672" s="5"/>
      <c r="I2672" s="5"/>
      <c r="J2672" s="5" t="s">
        <v>47</v>
      </c>
      <c r="K2672" s="5"/>
      <c r="L2672" s="5" t="s">
        <v>48</v>
      </c>
    </row>
    <row r="2673" customFormat="false" ht="13.35" hidden="false" customHeight="true" outlineLevel="0" collapsed="false">
      <c r="A2673" s="5" t="str">
        <f aca="false">HYPERLINK("https://www.fabsurplus.com/sdi_catalog/salesItemDetails.do?id=102577")</f>
        <v>https://www.fabsurplus.com/sdi_catalog/salesItemDetails.do?id=102577</v>
      </c>
      <c r="B2673" s="5" t="s">
        <v>7167</v>
      </c>
      <c r="C2673" s="5" t="s">
        <v>7161</v>
      </c>
      <c r="D2673" s="5" t="s">
        <v>7166</v>
      </c>
      <c r="E2673" s="5" t="s">
        <v>169</v>
      </c>
      <c r="F2673" s="5" t="s">
        <v>51</v>
      </c>
      <c r="G2673" s="5" t="s">
        <v>181</v>
      </c>
      <c r="H2673" s="5"/>
      <c r="I2673" s="5"/>
      <c r="J2673" s="5" t="s">
        <v>47</v>
      </c>
      <c r="K2673" s="5"/>
      <c r="L2673" s="5"/>
    </row>
    <row r="2674" customFormat="false" ht="13.35" hidden="false" customHeight="true" outlineLevel="0" collapsed="false">
      <c r="A2674" s="5" t="str">
        <f aca="false">HYPERLINK("https://www.fabsurplus.com/sdi_catalog/salesItemDetails.do?id=97108")</f>
        <v>https://www.fabsurplus.com/sdi_catalog/salesItemDetails.do?id=97108</v>
      </c>
      <c r="B2674" s="5" t="s">
        <v>7168</v>
      </c>
      <c r="C2674" s="5" t="s">
        <v>7169</v>
      </c>
      <c r="D2674" s="5" t="s">
        <v>7170</v>
      </c>
      <c r="E2674" s="5" t="s">
        <v>1928</v>
      </c>
      <c r="F2674" s="5" t="s">
        <v>16</v>
      </c>
      <c r="G2674" s="5" t="s">
        <v>160</v>
      </c>
      <c r="H2674" s="5" t="s">
        <v>18</v>
      </c>
      <c r="I2674" s="5"/>
      <c r="J2674" s="5" t="s">
        <v>19</v>
      </c>
      <c r="K2674" s="5" t="s">
        <v>20</v>
      </c>
      <c r="L2674" s="7" t="s">
        <v>7171</v>
      </c>
    </row>
    <row r="2675" customFormat="false" ht="13.35" hidden="false" customHeight="true" outlineLevel="0" collapsed="false">
      <c r="A2675" s="5" t="str">
        <f aca="false">HYPERLINK("https://www.fabsurplus.com/sdi_catalog/salesItemDetails.do?id=91390")</f>
        <v>https://www.fabsurplus.com/sdi_catalog/salesItemDetails.do?id=91390</v>
      </c>
      <c r="B2675" s="5" t="s">
        <v>7172</v>
      </c>
      <c r="C2675" s="5" t="s">
        <v>7169</v>
      </c>
      <c r="D2675" s="5" t="s">
        <v>7173</v>
      </c>
      <c r="E2675" s="5" t="s">
        <v>7174</v>
      </c>
      <c r="F2675" s="5" t="s">
        <v>16</v>
      </c>
      <c r="G2675" s="5" t="s">
        <v>1121</v>
      </c>
      <c r="H2675" s="5"/>
      <c r="I2675" s="6" t="n">
        <v>39600</v>
      </c>
      <c r="J2675" s="5" t="s">
        <v>19</v>
      </c>
      <c r="K2675" s="5"/>
      <c r="L2675" s="5" t="s">
        <v>112</v>
      </c>
    </row>
    <row r="2676" customFormat="false" ht="13.35" hidden="false" customHeight="true" outlineLevel="0" collapsed="false">
      <c r="A2676" s="5" t="str">
        <f aca="false">HYPERLINK("https://www.fabsurplus.com/sdi_catalog/salesItemDetails.do?id=91388")</f>
        <v>https://www.fabsurplus.com/sdi_catalog/salesItemDetails.do?id=91388</v>
      </c>
      <c r="B2676" s="5" t="s">
        <v>7175</v>
      </c>
      <c r="C2676" s="5" t="s">
        <v>7169</v>
      </c>
      <c r="D2676" s="5" t="s">
        <v>7176</v>
      </c>
      <c r="E2676" s="5" t="s">
        <v>7177</v>
      </c>
      <c r="F2676" s="5" t="s">
        <v>16</v>
      </c>
      <c r="G2676" s="5"/>
      <c r="H2676" s="5"/>
      <c r="I2676" s="5"/>
      <c r="J2676" s="5" t="s">
        <v>19</v>
      </c>
      <c r="K2676" s="5"/>
      <c r="L2676" s="5" t="s">
        <v>112</v>
      </c>
    </row>
    <row r="2677" customFormat="false" ht="13.35" hidden="false" customHeight="true" outlineLevel="0" collapsed="false">
      <c r="A2677" s="5" t="str">
        <f aca="false">HYPERLINK("https://www.fabsurplus.com/sdi_catalog/salesItemDetails.do?id=91389")</f>
        <v>https://www.fabsurplus.com/sdi_catalog/salesItemDetails.do?id=91389</v>
      </c>
      <c r="B2677" s="5" t="s">
        <v>7178</v>
      </c>
      <c r="C2677" s="5" t="s">
        <v>7169</v>
      </c>
      <c r="D2677" s="5" t="s">
        <v>7176</v>
      </c>
      <c r="E2677" s="5" t="s">
        <v>7177</v>
      </c>
      <c r="F2677" s="5" t="s">
        <v>16</v>
      </c>
      <c r="G2677" s="5"/>
      <c r="H2677" s="5"/>
      <c r="I2677" s="5"/>
      <c r="J2677" s="5" t="s">
        <v>19</v>
      </c>
      <c r="K2677" s="5"/>
      <c r="L2677" s="5" t="s">
        <v>112</v>
      </c>
    </row>
    <row r="2678" customFormat="false" ht="13.35" hidden="false" customHeight="true" outlineLevel="0" collapsed="false">
      <c r="A2678" s="2" t="str">
        <f aca="false">HYPERLINK("https://www.fabsurplus.com/sdi_catalog/salesItemDetails.do?id=95996")</f>
        <v>https://www.fabsurplus.com/sdi_catalog/salesItemDetails.do?id=95996</v>
      </c>
      <c r="B2678" s="2" t="s">
        <v>7179</v>
      </c>
      <c r="C2678" s="2" t="s">
        <v>7180</v>
      </c>
      <c r="D2678" s="2" t="s">
        <v>1927</v>
      </c>
      <c r="E2678" s="2" t="s">
        <v>1934</v>
      </c>
      <c r="F2678" s="2" t="s">
        <v>16</v>
      </c>
      <c r="G2678" s="2" t="s">
        <v>222</v>
      </c>
      <c r="H2678" s="2"/>
      <c r="I2678" s="2"/>
      <c r="J2678" s="2" t="s">
        <v>19</v>
      </c>
      <c r="K2678" s="2"/>
      <c r="L2678" s="4" t="s">
        <v>209</v>
      </c>
    </row>
    <row r="2679" customFormat="false" ht="13.35" hidden="false" customHeight="true" outlineLevel="0" collapsed="false">
      <c r="A2679" s="2" t="str">
        <f aca="false">HYPERLINK("https://www.fabsurplus.com/sdi_catalog/salesItemDetails.do?id=95997")</f>
        <v>https://www.fabsurplus.com/sdi_catalog/salesItemDetails.do?id=95997</v>
      </c>
      <c r="B2679" s="2" t="s">
        <v>7181</v>
      </c>
      <c r="C2679" s="2" t="s">
        <v>7180</v>
      </c>
      <c r="D2679" s="2" t="s">
        <v>1927</v>
      </c>
      <c r="E2679" s="2" t="s">
        <v>1934</v>
      </c>
      <c r="F2679" s="2" t="s">
        <v>16</v>
      </c>
      <c r="G2679" s="2" t="s">
        <v>222</v>
      </c>
      <c r="H2679" s="2"/>
      <c r="I2679" s="2"/>
      <c r="J2679" s="2" t="s">
        <v>19</v>
      </c>
      <c r="K2679" s="2"/>
      <c r="L2679" s="4" t="s">
        <v>209</v>
      </c>
    </row>
    <row r="2680" customFormat="false" ht="13.35" hidden="false" customHeight="true" outlineLevel="0" collapsed="false">
      <c r="A2680" s="2" t="str">
        <f aca="false">HYPERLINK("https://www.fabsurplus.com/sdi_catalog/salesItemDetails.do?id=102057")</f>
        <v>https://www.fabsurplus.com/sdi_catalog/salesItemDetails.do?id=102057</v>
      </c>
      <c r="B2680" s="2" t="s">
        <v>7182</v>
      </c>
      <c r="C2680" s="2" t="s">
        <v>7180</v>
      </c>
      <c r="D2680" s="2" t="s">
        <v>7183</v>
      </c>
      <c r="E2680" s="2" t="s">
        <v>7184</v>
      </c>
      <c r="F2680" s="2" t="s">
        <v>16</v>
      </c>
      <c r="G2680" s="2"/>
      <c r="H2680" s="2" t="s">
        <v>18</v>
      </c>
      <c r="I2680" s="3" t="n">
        <v>37622</v>
      </c>
      <c r="J2680" s="2" t="s">
        <v>19</v>
      </c>
      <c r="K2680" s="2"/>
      <c r="L2680" s="4" t="s">
        <v>7185</v>
      </c>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65</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2021-04-21T20:05:12Z</dcterms:created>
  <dc:creator/>
  <dc:description/>
  <dc:language>en-US</dc:language>
  <cp:lastModifiedBy/>
  <dcterms:modified xsi:type="dcterms:W3CDTF">2021-04-21T21:24:54Z</dcterms:modified>
  <cp:revision>20</cp:revision>
  <dc:subject/>
  <dc:title/>
</cp:coreProperties>
</file>